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firstSheet="1" activeTab="1"/>
  </bookViews>
  <sheets>
    <sheet name="foxz" sheetId="3" state="veryHidden" r:id="rId1"/>
    <sheet name="Biểu số 02" sheetId="2" r:id="rId2"/>
  </sheets>
  <definedNames>
    <definedName name="_xlnm.Print_Titles" localSheetId="1">'Biểu số 02'!$5:$7</definedName>
  </definedNames>
  <calcPr calcId="191029"/>
</workbook>
</file>

<file path=xl/calcChain.xml><?xml version="1.0" encoding="utf-8"?>
<calcChain xmlns="http://schemas.openxmlformats.org/spreadsheetml/2006/main">
  <c r="H18" i="2" l="1"/>
  <c r="H8" i="2"/>
  <c r="H7" i="2" s="1"/>
  <c r="I16" i="2" l="1"/>
  <c r="I12" i="2" l="1"/>
  <c r="K23" i="2" l="1"/>
  <c r="I19" i="2"/>
  <c r="P8" i="2" l="1"/>
  <c r="P18" i="2"/>
  <c r="D8" i="2"/>
  <c r="E8" i="2"/>
  <c r="G8" i="2"/>
  <c r="L12" i="2"/>
  <c r="P7" i="2" l="1"/>
  <c r="D18" i="2"/>
  <c r="D7" i="2" s="1"/>
  <c r="I9" i="2" l="1"/>
  <c r="I17" i="2"/>
  <c r="I15" i="2"/>
  <c r="I14" i="2"/>
  <c r="I11" i="2"/>
  <c r="I10" i="2"/>
  <c r="I13" i="2"/>
  <c r="I8" i="2" l="1"/>
  <c r="K24" i="2"/>
  <c r="J24" i="2"/>
  <c r="J23" i="2"/>
  <c r="K22" i="2"/>
  <c r="J22" i="2"/>
  <c r="K21" i="2"/>
  <c r="J21" i="2"/>
  <c r="K20" i="2"/>
  <c r="J20" i="2"/>
  <c r="K19" i="2"/>
  <c r="J19" i="2"/>
  <c r="G19" i="2"/>
  <c r="E21" i="2"/>
  <c r="I21" i="2" s="1"/>
  <c r="E22" i="2"/>
  <c r="I22" i="2" s="1"/>
  <c r="E23" i="2"/>
  <c r="I23" i="2" s="1"/>
  <c r="E24" i="2"/>
  <c r="E20" i="2"/>
  <c r="F19" i="2"/>
  <c r="J18" i="2" l="1"/>
  <c r="E18" i="2"/>
  <c r="E7" i="2" s="1"/>
  <c r="K18" i="2"/>
  <c r="F22" i="2"/>
  <c r="G20" i="2"/>
  <c r="I20" i="2"/>
  <c r="F24" i="2"/>
  <c r="I24" i="2"/>
  <c r="L24" i="2" s="1"/>
  <c r="F23" i="2"/>
  <c r="L23" i="2"/>
  <c r="L21" i="2"/>
  <c r="L22" i="2"/>
  <c r="L19" i="2"/>
  <c r="F21" i="2"/>
  <c r="F20" i="2"/>
  <c r="G23" i="2"/>
  <c r="G22" i="2"/>
  <c r="G21" i="2"/>
  <c r="G24" i="2"/>
  <c r="G18" i="2" l="1"/>
  <c r="G7" i="2" s="1"/>
  <c r="F18" i="2"/>
  <c r="L20" i="2"/>
  <c r="I18" i="2"/>
  <c r="I7" i="2" s="1"/>
  <c r="L18" i="2"/>
  <c r="K16" i="2" l="1"/>
  <c r="J16" i="2"/>
  <c r="J15" i="2"/>
  <c r="K15" i="2" s="1"/>
  <c r="J14" i="2"/>
  <c r="K14" i="2" s="1"/>
  <c r="J11" i="2"/>
  <c r="K11" i="2" s="1"/>
  <c r="J10" i="2"/>
  <c r="K10" i="2" s="1"/>
  <c r="J13" i="2"/>
  <c r="K13" i="2" s="1"/>
  <c r="K9" i="2"/>
  <c r="J9" i="2"/>
  <c r="J8" i="2" l="1"/>
  <c r="J7" i="2" s="1"/>
  <c r="K8" i="2"/>
  <c r="K7" i="2" s="1"/>
  <c r="L17" i="2"/>
  <c r="L13" i="2" l="1"/>
  <c r="L16" i="2"/>
  <c r="L11" i="2" l="1"/>
  <c r="L15" i="2"/>
  <c r="L14" i="2"/>
  <c r="F10" i="2"/>
  <c r="F11" i="2"/>
  <c r="F14" i="2"/>
  <c r="F15" i="2"/>
  <c r="F16" i="2"/>
  <c r="F9" i="2"/>
  <c r="F8" i="2" l="1"/>
  <c r="F7" i="2" s="1"/>
  <c r="L9" i="2"/>
  <c r="L10" i="2"/>
  <c r="L8" i="2" l="1"/>
  <c r="L7" i="2" s="1"/>
</calcChain>
</file>

<file path=xl/sharedStrings.xml><?xml version="1.0" encoding="utf-8"?>
<sst xmlns="http://schemas.openxmlformats.org/spreadsheetml/2006/main" count="209" uniqueCount="105">
  <si>
    <t>STT</t>
  </si>
  <si>
    <t>Địa điểm 
thực hiện 
dự án</t>
  </si>
  <si>
    <t>Diện tích 
theo quy 
hoạch 
(MBQH) 
(ha)</t>
  </si>
  <si>
    <t>I</t>
  </si>
  <si>
    <t>II</t>
  </si>
  <si>
    <t>Tổng cộng</t>
  </si>
  <si>
    <t>Dự kiến
chi phí bồi
 thường GPMB 
(triệu đồng)</t>
  </si>
  <si>
    <t>Dự kiến 
chi phí
 đầu tư 
hạ tầng 
kỹ thuật
 (triệu 
đồng)</t>
  </si>
  <si>
    <t>Diện tích đấu giá thu tiền sử dụng đất (ha)</t>
  </si>
  <si>
    <t>Diện tích đầu tư hạ tầng kỹ thuật (ha)</t>
  </si>
  <si>
    <t>Tổng diện tích
 đất đấu 
giá (ha)</t>
  </si>
  <si>
    <t>Tên dự án (MBQH)
 (số QĐ, ngày, tháng, năm  phê duyệt MBQH)</t>
  </si>
  <si>
    <t>Tiền sử dụng dự kiến đất dự kiến thu được sau khi trừ chi phí 
GPMB và Đầu 
tư hạ tầng 
kỹ thuật
 (triệu đồng)</t>
  </si>
  <si>
    <t>UBND XÃ HOẰNG HÓA</t>
  </si>
  <si>
    <t>Quỹ đất TĐC và đấu giá QSD đất để làm đường Gòng - Hải Tiến (giai đoạn 1) (04/MBQH-UBND ngày 11/3/2019)</t>
  </si>
  <si>
    <t>Mặt bằng QH khu dân cư đô thị mới Tân Sơn, TT Bút Sơn (QĐ 7165/QĐ - UBND ngày 26/12/2017 )</t>
  </si>
  <si>
    <t xml:space="preserve">Khu dân cư thôn Đạt Tài 1, xã Hoằng Hà (MBQH được phê duyệt tại QĐ số 4406/QĐ-UBND ngày 30/9/2024 của UBND huyện) </t>
  </si>
  <si>
    <t>Hạ tầng kỹ thuật mặt bằng phân lô đất ở tại thôn Trù Ninh, xã Hoằng Đạt (36/MBQH-UBND ngày 17/5/2021)</t>
  </si>
  <si>
    <t xml:space="preserve">Hạ tầng kỹ thuật mặt bằng phân lô đất ở tại thôn Trù Ninh, xã Hoằng Đạt (37/MBQH-UBND ngày 17/5/2021) </t>
  </si>
  <si>
    <t xml:space="preserve">Mặt bằng khu dân cư thôn Quang Trung, xã Hoằng Đồng (MBQH được phê duyệt tại Quyết định số 2633/QĐUBND ngày 25/6/2024) </t>
  </si>
  <si>
    <t xml:space="preserve">Hạ tầng kỹ thuật mặt bằng khu dân cư phố Bút Cương, thị trấn Bút Sơn (QĐ 2590/QĐ-UBND ngày 26/6/2024) </t>
  </si>
  <si>
    <t xml:space="preserve">Hạ tầng kỹ thuật mặt bằng khu dân cư Phúc Vinh tại phố Vinh Sơn, thị trấn Bút Sơn (QĐ 3661/QĐ-UBND ngày 16/8/2024) </t>
  </si>
  <si>
    <t xml:space="preserve">Hạ tầng kỹ thuật mặt bằng khu dân cư TĐC đường QL 10 Đi khu du lịch Hải Tiến, giai đoạn 1 tại TDP Hoằng Lọc, thị trấn Bút Sơn (QĐ 1606/QĐ-UBND ngày 11/5/2023) </t>
  </si>
  <si>
    <t>giá lô 1: 4tr, giá lô 2: 3,5tr</t>
  </si>
  <si>
    <t>giá lô 1: 6tr, giá lô 2: 4,5tr</t>
  </si>
  <si>
    <t>giá lô 1: 5tr, giá lô 2: 4tr</t>
  </si>
  <si>
    <t>giá lô 1: 12tr, giá lô 2: 10tr</t>
  </si>
  <si>
    <t>Đã GPMB xong</t>
  </si>
  <si>
    <t>Đã có Hạ tầng KT</t>
  </si>
  <si>
    <t>Khu xen cư trung tâm thị trấn Bút Sơn, huyện Hoằng Hóa (nay thuộc xã Hoằng Hóa)</t>
  </si>
  <si>
    <t>Khu dân cư Nhân Đạo, xã Hoằng Hóa, tỉnh Thanh Hóa</t>
  </si>
  <si>
    <t>Khu dân cư Bút Cương, xã Hoằng Hóa, tỉnh Thanh Hóa</t>
  </si>
  <si>
    <t>Khu dân cư Hiền Thôn, xã Hoằng Hóa, tỉnh Thanh Hóa</t>
  </si>
  <si>
    <t>Khu xen cư Phú Vinh Tây, xã Hoằng Hóa, tỉnh Thanh Hóa</t>
  </si>
  <si>
    <t>Khu dân cư Hạ Vũ, xã Hoằng Hóa, tỉnh Thanh Hóa</t>
  </si>
  <si>
    <t>Đấu giá ngày 29/01/2026</t>
  </si>
  <si>
    <t>Đấu giá ngày 04/02/2026</t>
  </si>
  <si>
    <t>dự kiến lô 1: 10tr, lô 2 dự kiến 8tr</t>
  </si>
  <si>
    <t>giá lô 1: 8,3tr, giá lô 2: 6r7</t>
  </si>
  <si>
    <t>Giá theo bảng giá (triệu đồng)</t>
  </si>
  <si>
    <t>Dự kiến giá đấu (triệu đồng)</t>
  </si>
  <si>
    <t>Thời gian đấu giá (dự kiến)</t>
  </si>
  <si>
    <t>Thời gian hoàn thành GPMB</t>
  </si>
  <si>
    <t>Thời gian thi công xong</t>
  </si>
  <si>
    <t>Xong</t>
  </si>
  <si>
    <t>Tháng 3/2026</t>
  </si>
  <si>
    <t>31/3/2026</t>
  </si>
  <si>
    <t>31/7/2026 (4 tháng)</t>
  </si>
  <si>
    <t>30/4/2026</t>
  </si>
  <si>
    <t>30/9/2026 (5 tháng)</t>
  </si>
  <si>
    <t>Trước ngày 30/8/2026</t>
  </si>
  <si>
    <t>Trước ngày 31/10/2026</t>
  </si>
  <si>
    <t>Trước ngày 30/4/2026</t>
  </si>
  <si>
    <t>31/8/2026 (5 tháng)</t>
  </si>
  <si>
    <t>Trước ngày 30/9/2026</t>
  </si>
  <si>
    <t>31/7/2026</t>
  </si>
  <si>
    <t>31/10/2026 (3 tháng)</t>
  </si>
  <si>
    <t>Trước ngày 30/11/2026</t>
  </si>
  <si>
    <t>31/8/2026 (3 tháng)</t>
  </si>
  <si>
    <t>31/5/2026</t>
  </si>
  <si>
    <t>31/7/2026 (1,5 tháng)</t>
  </si>
  <si>
    <t>Trước ngày 31/8/2026</t>
  </si>
  <si>
    <t>30/6/2026</t>
  </si>
  <si>
    <t>Trước ngày 31/12/2026</t>
  </si>
  <si>
    <t>31/5/2026 (1 tháng)</t>
  </si>
  <si>
    <t>Trước ngày 30/6/2026</t>
  </si>
  <si>
    <t>01/12/2026 (5 tháng)</t>
  </si>
  <si>
    <t>Số lô đấu giá</t>
  </si>
  <si>
    <t>Xác định nguồn gốc đất, trích đo dự án</t>
  </si>
  <si>
    <t>Lập Hồ sơ, thực hiện quy trình GPMB</t>
  </si>
  <si>
    <t>Phối hợp, vận động GPMB</t>
  </si>
  <si>
    <t>Chi trả tiền GPMB</t>
  </si>
  <si>
    <t>Đ/c Cường chủ trì, đ/c Duy-P. Kinh tế + Đơn vị tư vấn + Trưởng thôn</t>
  </si>
  <si>
    <t>đ/c Ngọc, đ/c Quỳnh - P.Kinh tế</t>
  </si>
  <si>
    <t>đ/c Dũng, đ/c Bảy - P.Kinh tế</t>
  </si>
  <si>
    <t>Đ/c Hường, đ/c Huệ  - P.Kinh tế</t>
  </si>
  <si>
    <t>Đ/c Hồng chủ trì, đ/c Duy-P. Kinh tế + Đơn vị tư vấn + Trưởng thôn</t>
  </si>
  <si>
    <t>Đ/c Hồng chủ trì, + Trưởng thôn</t>
  </si>
  <si>
    <t>Đ/c Hương chủ trì, đ/c Duy-P. Kinh tế + Đơn vị tư vấn + Trưởng thôn</t>
  </si>
  <si>
    <t>Đ/c Hảo chủ trì, đ/c Duy-P. Kinh tế + Đơn vị tư vấn + Trưởng thôn</t>
  </si>
  <si>
    <t>Cán bộ phụ trách, phối hợp thực hiện nhiệm vụ GPMB</t>
  </si>
  <si>
    <r>
      <t xml:space="preserve">Đánh giá sự phù hợp của Dự án đối với Quy hoạch sử dụng đất và các Quy hoạch có liên quan (nếu có); Kế hoạch sử dụng đất hàng năm được phê duyệt </t>
    </r>
    <r>
      <rPr>
        <i/>
        <sz val="13"/>
        <rFont val="Times New Roman"/>
        <family val="1"/>
      </rPr>
      <t>(ghi rõ số văn bản và ngày tháng năm được phê duyệt)</t>
    </r>
  </si>
  <si>
    <t>Ghi chú</t>
  </si>
  <si>
    <t>Phù hợp</t>
  </si>
  <si>
    <t>Đấu mới</t>
  </si>
  <si>
    <t>Đấu lại</t>
  </si>
  <si>
    <t>Dự án mới năm 2026</t>
  </si>
  <si>
    <t>Thôn Hoằng Lọc, xã Hoằng Hóa</t>
  </si>
  <si>
    <t>Thôn Trù Ninh, xã Hoằng Hóa</t>
  </si>
  <si>
    <t>Thôn Nhân Trạch, xã Hoằng Hóa</t>
  </si>
  <si>
    <t>Thôn Đạt Tài, xã Hoằng Hóa</t>
  </si>
  <si>
    <t>Thôn Quang Trung, xã Hoằng Hóa</t>
  </si>
  <si>
    <t>Thôn Bút Cương, xã Hoằng Hóa</t>
  </si>
  <si>
    <t>Thôn Vinh Sơn, xã Hoằng Hóa</t>
  </si>
  <si>
    <t>Thôn Tân Sơn, xã Hoằng Hóa</t>
  </si>
  <si>
    <t>Thôn Trung Sơn, xã Hoằng Hóa</t>
  </si>
  <si>
    <t>Thôn Nhân Đạo, xã Hoằng Hóa</t>
  </si>
  <si>
    <t>Thôn Hiền Thôn, xã Hoằng Hóa</t>
  </si>
  <si>
    <t>Thôn Phú Vinh Tây, xã Hoằng Hóa</t>
  </si>
  <si>
    <t>Thôn Hạ Vũ, xã Hoằng Hóa</t>
  </si>
  <si>
    <t>Dự án chuyển tiếp theo Quyết định số 878/QĐ- UBND ngày 26/3/2025 của UBND tỉnh về phê duyệt danh mục dự án đấu giá năm 2025</t>
  </si>
  <si>
    <t>Số lô đấu giá/MBQH</t>
  </si>
  <si>
    <t>Tiền sử
 dụng đất
 dự kiến 
thu được 
(triệu
 đồng)</t>
  </si>
  <si>
    <t>( Kèm theo Quyết định số:           /QĐ-UBND ngày           tháng      năm 2026  của UBND xã Hoằng Hóa)</t>
  </si>
  <si>
    <t>KẾ HOẠCH, DANH MỤC ĐẤU GIÁ QUYỀN SỬ DỤNG ĐẤT NĂM 2026  TRÊN ĐỊA BÀN XÃ HOẰNG HÓA, ĐỢT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</si>
</sst>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</numFmts>
  <fonts count="23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2"/>
      <name val="Times New Roman"/>
      <family val="1"/>
    </font>
    <font>
      <sz val="12"/>
      <color indexed="8"/>
      <name val="Times New Roman"/>
      <family val="2"/>
    </font>
    <font>
      <sz val="14"/>
      <name val=".VnTime"/>
      <family val="2"/>
    </font>
    <font>
      <sz val="10"/>
      <color theme="1"/>
      <name val="Calibri"/>
      <family val="2"/>
    </font>
    <font>
      <b/>
      <u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0" fontId="12" fillId="0" borderId="0"/>
    <xf numFmtId="0" fontId="1" fillId="0" borderId="0"/>
    <xf numFmtId="0" fontId="13" fillId="0" borderId="0"/>
    <xf numFmtId="0" fontId="9" fillId="0" borderId="0"/>
  </cellStyleXfs>
  <cellXfs count="9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7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horizontal="right" vertical="center" wrapText="1"/>
    </xf>
    <xf numFmtId="43" fontId="15" fillId="2" borderId="2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43" fontId="21" fillId="3" borderId="2" xfId="1" applyFont="1" applyFill="1" applyBorder="1" applyAlignment="1">
      <alignment horizontal="right" vertical="center" wrapText="1"/>
    </xf>
    <xf numFmtId="164" fontId="16" fillId="3" borderId="2" xfId="1" applyNumberFormat="1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43" fontId="10" fillId="0" borderId="2" xfId="1" applyFont="1" applyFill="1" applyBorder="1" applyAlignment="1">
      <alignment horizontal="right" vertical="center" wrapText="1"/>
    </xf>
    <xf numFmtId="43" fontId="10" fillId="0" borderId="0" xfId="0" applyNumberFormat="1" applyFont="1" applyFill="1" applyAlignment="1">
      <alignment vertical="center"/>
    </xf>
    <xf numFmtId="43" fontId="10" fillId="0" borderId="2" xfId="1" applyNumberFormat="1" applyFont="1" applyFill="1" applyBorder="1" applyAlignment="1">
      <alignment horizontal="right" vertical="center" wrapText="1"/>
    </xf>
    <xf numFmtId="4" fontId="10" fillId="0" borderId="2" xfId="1" applyNumberFormat="1" applyFont="1" applyFill="1" applyBorder="1" applyAlignment="1">
      <alignment horizontal="right" vertical="center" wrapText="1"/>
    </xf>
    <xf numFmtId="43" fontId="19" fillId="0" borderId="2" xfId="1" quotePrefix="1" applyNumberFormat="1" applyFont="1" applyFill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horizontal="center" vertical="center" wrapText="1"/>
    </xf>
    <xf numFmtId="43" fontId="10" fillId="0" borderId="2" xfId="0" applyNumberFormat="1" applyFont="1" applyFill="1" applyBorder="1" applyAlignment="1">
      <alignment vertical="center"/>
    </xf>
    <xf numFmtId="43" fontId="10" fillId="0" borderId="2" xfId="1" applyFont="1" applyBorder="1" applyAlignment="1">
      <alignment horizontal="right" vertical="center" wrapText="1"/>
    </xf>
    <xf numFmtId="43" fontId="10" fillId="0" borderId="2" xfId="1" applyNumberFormat="1" applyFont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/>
    </xf>
    <xf numFmtId="0" fontId="19" fillId="0" borderId="2" xfId="0" applyFont="1" applyBorder="1" applyAlignment="1">
      <alignment horizontal="left" vertical="center" wrapText="1"/>
    </xf>
    <xf numFmtId="43" fontId="10" fillId="0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2" fontId="20" fillId="3" borderId="2" xfId="0" applyNumberFormat="1" applyFont="1" applyFill="1" applyBorder="1" applyAlignment="1">
      <alignment horizontal="right" vertical="center" wrapText="1"/>
    </xf>
    <xf numFmtId="43" fontId="20" fillId="3" borderId="2" xfId="0" applyNumberFormat="1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vertical="center"/>
    </xf>
    <xf numFmtId="2" fontId="19" fillId="0" borderId="2" xfId="0" applyNumberFormat="1" applyFont="1" applyFill="1" applyBorder="1" applyAlignment="1">
      <alignment horizontal="right" vertical="center" wrapText="1"/>
    </xf>
    <xf numFmtId="2" fontId="19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right" vertical="center" wrapText="1"/>
    </xf>
    <xf numFmtId="0" fontId="15" fillId="3" borderId="2" xfId="0" applyFont="1" applyFill="1" applyBorder="1" applyAlignment="1">
      <alignment vertical="center"/>
    </xf>
    <xf numFmtId="164" fontId="10" fillId="3" borderId="2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3" fontId="22" fillId="0" borderId="2" xfId="1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3" fontId="21" fillId="3" borderId="2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11">
    <cellStyle name="Comma" xfId="1" builtinId="3"/>
    <cellStyle name="Comma 2" xfId="2"/>
    <cellStyle name="Comma 3" xfId="3"/>
    <cellStyle name="Normal" xfId="0" builtinId="0"/>
    <cellStyle name="Normal 10" xfId="4"/>
    <cellStyle name="Normal 2" xfId="5"/>
    <cellStyle name="Normal 3" xfId="6"/>
    <cellStyle name="Normal 4" xfId="7"/>
    <cellStyle name="Normal 5 3" xfId="8"/>
    <cellStyle name="Normal 7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zoomScale="70" zoomScaleNormal="70" workbookViewId="0">
      <pane ySplit="7" topLeftCell="A8" activePane="bottomLeft" state="frozen"/>
      <selection pane="bottomLeft" activeCell="D5" sqref="D5:E6"/>
    </sheetView>
  </sheetViews>
  <sheetFormatPr defaultColWidth="9.140625" defaultRowHeight="12.75"/>
  <cols>
    <col min="1" max="1" width="5" style="2" customWidth="1"/>
    <col min="2" max="2" width="34.5703125" style="2" customWidth="1"/>
    <col min="3" max="3" width="15.28515625" style="1" customWidth="1"/>
    <col min="4" max="7" width="13" style="1" customWidth="1"/>
    <col min="8" max="8" width="13" style="7" customWidth="1"/>
    <col min="9" max="9" width="19.28515625" style="2" customWidth="1"/>
    <col min="10" max="10" width="12.7109375" style="2" hidden="1" customWidth="1"/>
    <col min="11" max="11" width="14.7109375" style="2" hidden="1" customWidth="1"/>
    <col min="12" max="12" width="16.7109375" style="2" hidden="1" customWidth="1"/>
    <col min="13" max="14" width="13.28515625" style="5" hidden="1" customWidth="1"/>
    <col min="15" max="15" width="14.5703125" style="5" hidden="1" customWidth="1"/>
    <col min="16" max="16" width="8.28515625" style="7" hidden="1" customWidth="1"/>
    <col min="17" max="17" width="15.140625" style="9" hidden="1" customWidth="1"/>
    <col min="18" max="18" width="11" style="2" hidden="1" customWidth="1"/>
    <col min="19" max="20" width="21.140625" style="2" hidden="1" customWidth="1"/>
    <col min="21" max="21" width="21.140625" style="1" hidden="1" customWidth="1"/>
    <col min="22" max="22" width="5.140625" style="1" hidden="1" customWidth="1"/>
    <col min="23" max="23" width="29.5703125" style="2" customWidth="1"/>
    <col min="24" max="24" width="15.42578125" style="2" customWidth="1"/>
    <col min="25" max="16384" width="9.140625" style="2"/>
  </cols>
  <sheetData>
    <row r="1" spans="1:24" ht="23.45" customHeight="1">
      <c r="A1" s="77" t="s">
        <v>13</v>
      </c>
      <c r="B1" s="77"/>
      <c r="Q1" s="78"/>
      <c r="R1" s="78"/>
    </row>
    <row r="2" spans="1:24" ht="25.15" customHeight="1">
      <c r="A2" s="81" t="s">
        <v>104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ht="25.15" customHeight="1">
      <c r="A3" s="89" t="s">
        <v>103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1:24" ht="25.15" customHeight="1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4"/>
      <c r="Q4" s="74"/>
      <c r="R4" s="4"/>
    </row>
    <row r="5" spans="1:24" s="3" customFormat="1" ht="63.6" customHeight="1">
      <c r="A5" s="79" t="s">
        <v>0</v>
      </c>
      <c r="B5" s="79" t="s">
        <v>11</v>
      </c>
      <c r="C5" s="79" t="s">
        <v>1</v>
      </c>
      <c r="D5" s="79" t="s">
        <v>2</v>
      </c>
      <c r="E5" s="79" t="s">
        <v>10</v>
      </c>
      <c r="F5" s="79" t="s">
        <v>8</v>
      </c>
      <c r="G5" s="79" t="s">
        <v>9</v>
      </c>
      <c r="H5" s="79" t="s">
        <v>101</v>
      </c>
      <c r="I5" s="79" t="s">
        <v>102</v>
      </c>
      <c r="J5" s="79" t="s">
        <v>6</v>
      </c>
      <c r="K5" s="79" t="s">
        <v>7</v>
      </c>
      <c r="L5" s="79" t="s">
        <v>12</v>
      </c>
      <c r="M5" s="87" t="s">
        <v>42</v>
      </c>
      <c r="N5" s="87" t="s">
        <v>43</v>
      </c>
      <c r="O5" s="87" t="s">
        <v>41</v>
      </c>
      <c r="P5" s="79" t="s">
        <v>67</v>
      </c>
      <c r="Q5" s="79" t="s">
        <v>39</v>
      </c>
      <c r="R5" s="79" t="s">
        <v>40</v>
      </c>
      <c r="S5" s="84" t="s">
        <v>80</v>
      </c>
      <c r="T5" s="85"/>
      <c r="U5" s="85"/>
      <c r="V5" s="86"/>
      <c r="W5" s="82" t="s">
        <v>81</v>
      </c>
      <c r="X5" s="82" t="s">
        <v>82</v>
      </c>
    </row>
    <row r="6" spans="1:24" s="3" customFormat="1" ht="86.45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8"/>
      <c r="N6" s="88"/>
      <c r="O6" s="88"/>
      <c r="P6" s="80"/>
      <c r="Q6" s="80"/>
      <c r="R6" s="80"/>
      <c r="S6" s="63" t="s">
        <v>68</v>
      </c>
      <c r="T6" s="63" t="s">
        <v>69</v>
      </c>
      <c r="U6" s="63" t="s">
        <v>70</v>
      </c>
      <c r="V6" s="63" t="s">
        <v>71</v>
      </c>
      <c r="W6" s="83"/>
      <c r="X6" s="83"/>
    </row>
    <row r="7" spans="1:24" s="11" customFormat="1" ht="30.6" customHeight="1">
      <c r="A7" s="22"/>
      <c r="B7" s="23" t="s">
        <v>5</v>
      </c>
      <c r="C7" s="23"/>
      <c r="D7" s="24">
        <f t="shared" ref="D7:L7" si="0">D8+D18</f>
        <v>31.3</v>
      </c>
      <c r="E7" s="24">
        <f t="shared" si="0"/>
        <v>9.902000000000001</v>
      </c>
      <c r="F7" s="24">
        <f t="shared" si="0"/>
        <v>9.902000000000001</v>
      </c>
      <c r="G7" s="24">
        <f t="shared" si="0"/>
        <v>11.597999999999999</v>
      </c>
      <c r="H7" s="55">
        <f>H8+H18</f>
        <v>606</v>
      </c>
      <c r="I7" s="25">
        <f t="shared" si="0"/>
        <v>582764.28399999999</v>
      </c>
      <c r="J7" s="25">
        <f t="shared" si="0"/>
        <v>32414.313999999998</v>
      </c>
      <c r="K7" s="25">
        <f t="shared" si="0"/>
        <v>238064.55799999999</v>
      </c>
      <c r="L7" s="25">
        <f t="shared" si="0"/>
        <v>312285.41200000001</v>
      </c>
      <c r="M7" s="67"/>
      <c r="N7" s="67"/>
      <c r="O7" s="68"/>
      <c r="P7" s="55">
        <f>P8+P18</f>
        <v>606</v>
      </c>
      <c r="Q7" s="26"/>
      <c r="R7" s="56"/>
      <c r="S7" s="60"/>
      <c r="T7" s="60"/>
      <c r="U7" s="64"/>
      <c r="V7" s="64"/>
      <c r="W7" s="60"/>
      <c r="X7" s="60"/>
    </row>
    <row r="8" spans="1:24" s="12" customFormat="1" ht="82.15" customHeight="1">
      <c r="A8" s="27" t="s">
        <v>3</v>
      </c>
      <c r="B8" s="28" t="s">
        <v>100</v>
      </c>
      <c r="C8" s="27"/>
      <c r="D8" s="29">
        <f t="shared" ref="D8:L8" si="1">SUM(D9:D17)</f>
        <v>20.95</v>
      </c>
      <c r="E8" s="29">
        <f t="shared" si="1"/>
        <v>5.7299999999999995</v>
      </c>
      <c r="F8" s="29">
        <f t="shared" si="1"/>
        <v>5.7299999999999995</v>
      </c>
      <c r="G8" s="29">
        <f t="shared" si="1"/>
        <v>5.4200000000000008</v>
      </c>
      <c r="H8" s="32">
        <f>SUM(H9:H17)</f>
        <v>386</v>
      </c>
      <c r="I8" s="75">
        <f t="shared" si="1"/>
        <v>347364.28399999999</v>
      </c>
      <c r="J8" s="29">
        <f t="shared" si="1"/>
        <v>19578.313999999998</v>
      </c>
      <c r="K8" s="29">
        <f t="shared" si="1"/>
        <v>134764.55799999999</v>
      </c>
      <c r="L8" s="29">
        <f t="shared" si="1"/>
        <v>193021.41200000001</v>
      </c>
      <c r="M8" s="30"/>
      <c r="N8" s="30"/>
      <c r="O8" s="31"/>
      <c r="P8" s="32">
        <f>SUM(P9:P17)</f>
        <v>386</v>
      </c>
      <c r="Q8" s="33"/>
      <c r="R8" s="57"/>
      <c r="S8" s="61"/>
      <c r="T8" s="61"/>
      <c r="U8" s="65"/>
      <c r="V8" s="65"/>
      <c r="W8" s="61"/>
      <c r="X8" s="61"/>
    </row>
    <row r="9" spans="1:24" s="6" customFormat="1" ht="90" customHeight="1">
      <c r="A9" s="34">
        <v>1</v>
      </c>
      <c r="B9" s="15" t="s">
        <v>22</v>
      </c>
      <c r="C9" s="34" t="s">
        <v>87</v>
      </c>
      <c r="D9" s="35">
        <v>1.63</v>
      </c>
      <c r="E9" s="35">
        <v>0.75</v>
      </c>
      <c r="F9" s="36">
        <f>E9</f>
        <v>0.75</v>
      </c>
      <c r="G9" s="36">
        <v>0.6</v>
      </c>
      <c r="H9" s="16">
        <v>54</v>
      </c>
      <c r="I9" s="37">
        <f>(120*3+125*6)*6+(149.2+125*2+229.37+115)*1.2*6+(6658-120*3-125*6-149.2-125*2-229.37-115)*6</f>
        <v>40840.284</v>
      </c>
      <c r="J9" s="38">
        <f>1962385000/1000000</f>
        <v>1962.385</v>
      </c>
      <c r="K9" s="38">
        <f>18757250000/1000000</f>
        <v>18757.25</v>
      </c>
      <c r="L9" s="38">
        <f t="shared" ref="L9:L16" si="2">I9-J9-K9</f>
        <v>20120.648999999998</v>
      </c>
      <c r="M9" s="69" t="s">
        <v>44</v>
      </c>
      <c r="N9" s="69" t="s">
        <v>44</v>
      </c>
      <c r="O9" s="70" t="s">
        <v>35</v>
      </c>
      <c r="P9" s="16">
        <v>54</v>
      </c>
      <c r="Q9" s="14" t="s">
        <v>24</v>
      </c>
      <c r="R9" s="58" t="s">
        <v>37</v>
      </c>
      <c r="S9" s="21" t="s">
        <v>44</v>
      </c>
      <c r="T9" s="21" t="s">
        <v>44</v>
      </c>
      <c r="U9" s="21" t="s">
        <v>44</v>
      </c>
      <c r="V9" s="21" t="s">
        <v>44</v>
      </c>
      <c r="W9" s="72" t="s">
        <v>83</v>
      </c>
      <c r="X9" s="73" t="s">
        <v>84</v>
      </c>
    </row>
    <row r="10" spans="1:24" s="6" customFormat="1" ht="68.45" customHeight="1">
      <c r="A10" s="34">
        <v>2</v>
      </c>
      <c r="B10" s="15" t="s">
        <v>17</v>
      </c>
      <c r="C10" s="34" t="s">
        <v>88</v>
      </c>
      <c r="D10" s="35">
        <v>0.81</v>
      </c>
      <c r="E10" s="35">
        <v>0.43</v>
      </c>
      <c r="F10" s="36">
        <f>E10</f>
        <v>0.43</v>
      </c>
      <c r="G10" s="36">
        <v>0.34</v>
      </c>
      <c r="H10" s="16">
        <v>24</v>
      </c>
      <c r="I10" s="38">
        <f>3346*6</f>
        <v>20076</v>
      </c>
      <c r="J10" s="38">
        <f>1184741000/1000000</f>
        <v>1184.741</v>
      </c>
      <c r="K10" s="38">
        <f>7080806000/1000000-J10</f>
        <v>5896.0649999999996</v>
      </c>
      <c r="L10" s="38">
        <f>I10-J10-K10</f>
        <v>12995.194</v>
      </c>
      <c r="M10" s="69" t="s">
        <v>44</v>
      </c>
      <c r="N10" s="69" t="s">
        <v>44</v>
      </c>
      <c r="O10" s="70" t="s">
        <v>35</v>
      </c>
      <c r="P10" s="16">
        <v>24</v>
      </c>
      <c r="Q10" s="21">
        <v>6</v>
      </c>
      <c r="R10" s="59">
        <v>7</v>
      </c>
      <c r="S10" s="21" t="s">
        <v>44</v>
      </c>
      <c r="T10" s="21" t="s">
        <v>44</v>
      </c>
      <c r="U10" s="21" t="s">
        <v>44</v>
      </c>
      <c r="V10" s="21" t="s">
        <v>44</v>
      </c>
      <c r="W10" s="72" t="s">
        <v>83</v>
      </c>
      <c r="X10" s="73" t="s">
        <v>84</v>
      </c>
    </row>
    <row r="11" spans="1:24" s="6" customFormat="1" ht="67.150000000000006" customHeight="1">
      <c r="A11" s="34">
        <v>3</v>
      </c>
      <c r="B11" s="15" t="s">
        <v>18</v>
      </c>
      <c r="C11" s="34" t="s">
        <v>88</v>
      </c>
      <c r="D11" s="35">
        <v>0.79</v>
      </c>
      <c r="E11" s="35">
        <v>0.38</v>
      </c>
      <c r="F11" s="36">
        <f>E11</f>
        <v>0.38</v>
      </c>
      <c r="G11" s="36">
        <v>0.3</v>
      </c>
      <c r="H11" s="16">
        <v>27</v>
      </c>
      <c r="I11" s="38">
        <f>3808*6</f>
        <v>22848</v>
      </c>
      <c r="J11" s="38">
        <f>835298000/1000000</f>
        <v>835.298</v>
      </c>
      <c r="K11" s="38">
        <f>7153431000/1000000-J11</f>
        <v>6318.1329999999998</v>
      </c>
      <c r="L11" s="38">
        <f>I11-J11-K11</f>
        <v>15694.569000000001</v>
      </c>
      <c r="M11" s="69" t="s">
        <v>44</v>
      </c>
      <c r="N11" s="69" t="s">
        <v>44</v>
      </c>
      <c r="O11" s="70" t="s">
        <v>36</v>
      </c>
      <c r="P11" s="16">
        <v>27</v>
      </c>
      <c r="Q11" s="15" t="s">
        <v>24</v>
      </c>
      <c r="R11" s="59">
        <v>7.5</v>
      </c>
      <c r="S11" s="21" t="s">
        <v>44</v>
      </c>
      <c r="T11" s="21" t="s">
        <v>44</v>
      </c>
      <c r="U11" s="21" t="s">
        <v>44</v>
      </c>
      <c r="V11" s="21" t="s">
        <v>44</v>
      </c>
      <c r="W11" s="72" t="s">
        <v>83</v>
      </c>
      <c r="X11" s="73" t="s">
        <v>84</v>
      </c>
    </row>
    <row r="12" spans="1:24" s="5" customFormat="1" ht="66" customHeight="1">
      <c r="A12" s="34">
        <v>4</v>
      </c>
      <c r="B12" s="15" t="s">
        <v>14</v>
      </c>
      <c r="C12" s="34" t="s">
        <v>89</v>
      </c>
      <c r="D12" s="35">
        <v>3.1</v>
      </c>
      <c r="E12" s="35">
        <v>0.87</v>
      </c>
      <c r="F12" s="35">
        <v>0.87</v>
      </c>
      <c r="G12" s="39">
        <v>0.7</v>
      </c>
      <c r="H12" s="17">
        <v>33</v>
      </c>
      <c r="I12" s="40">
        <f>7000*8.5</f>
        <v>59500</v>
      </c>
      <c r="J12" s="41" t="s">
        <v>27</v>
      </c>
      <c r="K12" s="40" t="s">
        <v>28</v>
      </c>
      <c r="L12" s="42">
        <f>I12</f>
        <v>59500</v>
      </c>
      <c r="M12" s="69" t="s">
        <v>44</v>
      </c>
      <c r="N12" s="69" t="s">
        <v>44</v>
      </c>
      <c r="O12" s="52" t="s">
        <v>45</v>
      </c>
      <c r="P12" s="17">
        <v>33</v>
      </c>
      <c r="Q12" s="10" t="s">
        <v>38</v>
      </c>
      <c r="R12" s="59">
        <v>8.5</v>
      </c>
      <c r="S12" s="21" t="s">
        <v>44</v>
      </c>
      <c r="T12" s="21" t="s">
        <v>44</v>
      </c>
      <c r="U12" s="21" t="s">
        <v>44</v>
      </c>
      <c r="V12" s="21" t="s">
        <v>44</v>
      </c>
      <c r="W12" s="72" t="s">
        <v>83</v>
      </c>
      <c r="X12" s="73" t="s">
        <v>85</v>
      </c>
    </row>
    <row r="13" spans="1:24" s="4" customFormat="1" ht="67.900000000000006" customHeight="1">
      <c r="A13" s="34">
        <v>5</v>
      </c>
      <c r="B13" s="15" t="s">
        <v>16</v>
      </c>
      <c r="C13" s="34" t="s">
        <v>90</v>
      </c>
      <c r="D13" s="35">
        <v>3.56</v>
      </c>
      <c r="E13" s="35">
        <v>1.1299999999999999</v>
      </c>
      <c r="F13" s="43">
        <v>1.1299999999999999</v>
      </c>
      <c r="G13" s="43">
        <v>1.75</v>
      </c>
      <c r="H13" s="17">
        <v>88</v>
      </c>
      <c r="I13" s="44">
        <f>21800*4</f>
        <v>87200</v>
      </c>
      <c r="J13" s="44">
        <f>3739890000/1000000</f>
        <v>3739.89</v>
      </c>
      <c r="K13" s="44">
        <f>37400000000/1000000-J13</f>
        <v>33660.11</v>
      </c>
      <c r="L13" s="44">
        <f t="shared" si="2"/>
        <v>49800</v>
      </c>
      <c r="M13" s="69" t="s">
        <v>59</v>
      </c>
      <c r="N13" s="69" t="s">
        <v>64</v>
      </c>
      <c r="O13" s="70" t="s">
        <v>65</v>
      </c>
      <c r="P13" s="17">
        <v>88</v>
      </c>
      <c r="Q13" s="10" t="s">
        <v>23</v>
      </c>
      <c r="R13" s="59">
        <v>6</v>
      </c>
      <c r="S13" s="10" t="s">
        <v>72</v>
      </c>
      <c r="T13" s="8" t="s">
        <v>73</v>
      </c>
      <c r="U13" s="8" t="s">
        <v>74</v>
      </c>
      <c r="V13" s="8" t="s">
        <v>75</v>
      </c>
      <c r="W13" s="72" t="s">
        <v>83</v>
      </c>
      <c r="X13" s="73" t="s">
        <v>84</v>
      </c>
    </row>
    <row r="14" spans="1:24" s="4" customFormat="1" ht="67.150000000000006" customHeight="1">
      <c r="A14" s="34">
        <v>6</v>
      </c>
      <c r="B14" s="15" t="s">
        <v>19</v>
      </c>
      <c r="C14" s="34" t="s">
        <v>91</v>
      </c>
      <c r="D14" s="35">
        <v>2.14</v>
      </c>
      <c r="E14" s="35">
        <v>0.84</v>
      </c>
      <c r="F14" s="43">
        <f t="shared" ref="F14:F16" si="3">E14</f>
        <v>0.84</v>
      </c>
      <c r="G14" s="43">
        <v>0.67</v>
      </c>
      <c r="H14" s="17">
        <v>67</v>
      </c>
      <c r="I14" s="44">
        <f>6700*5</f>
        <v>33500</v>
      </c>
      <c r="J14" s="44">
        <f>3652000000/1000000</f>
        <v>3652</v>
      </c>
      <c r="K14" s="44">
        <f>22400000000/1000000-J14</f>
        <v>18748</v>
      </c>
      <c r="L14" s="44">
        <f t="shared" si="2"/>
        <v>11100</v>
      </c>
      <c r="M14" s="69" t="s">
        <v>46</v>
      </c>
      <c r="N14" s="69" t="s">
        <v>47</v>
      </c>
      <c r="O14" s="70" t="s">
        <v>50</v>
      </c>
      <c r="P14" s="17">
        <v>67</v>
      </c>
      <c r="Q14" s="21">
        <v>4.5</v>
      </c>
      <c r="R14" s="59">
        <v>10</v>
      </c>
      <c r="S14" s="21" t="s">
        <v>44</v>
      </c>
      <c r="T14" s="21" t="s">
        <v>44</v>
      </c>
      <c r="U14" s="21" t="s">
        <v>44</v>
      </c>
      <c r="V14" s="21" t="s">
        <v>44</v>
      </c>
      <c r="W14" s="72" t="s">
        <v>83</v>
      </c>
      <c r="X14" s="73" t="s">
        <v>84</v>
      </c>
    </row>
    <row r="15" spans="1:24" s="4" customFormat="1" ht="69.599999999999994" customHeight="1">
      <c r="A15" s="34">
        <v>7</v>
      </c>
      <c r="B15" s="15" t="s">
        <v>20</v>
      </c>
      <c r="C15" s="34" t="s">
        <v>92</v>
      </c>
      <c r="D15" s="35">
        <v>2.6</v>
      </c>
      <c r="E15" s="35">
        <v>0.93</v>
      </c>
      <c r="F15" s="43">
        <f t="shared" si="3"/>
        <v>0.93</v>
      </c>
      <c r="G15" s="43">
        <v>0.74</v>
      </c>
      <c r="H15" s="17">
        <v>59</v>
      </c>
      <c r="I15" s="44">
        <f>7400*5</f>
        <v>37000</v>
      </c>
      <c r="J15" s="44">
        <f>5204000000/1000000</f>
        <v>5204</v>
      </c>
      <c r="K15" s="44">
        <f>26589000000/1000000-J15</f>
        <v>21385</v>
      </c>
      <c r="L15" s="44">
        <f t="shared" si="2"/>
        <v>10411</v>
      </c>
      <c r="M15" s="69" t="s">
        <v>46</v>
      </c>
      <c r="N15" s="69" t="s">
        <v>47</v>
      </c>
      <c r="O15" s="70" t="s">
        <v>50</v>
      </c>
      <c r="P15" s="17">
        <v>59</v>
      </c>
      <c r="Q15" s="10" t="s">
        <v>25</v>
      </c>
      <c r="R15" s="59">
        <v>8</v>
      </c>
      <c r="S15" s="10" t="s">
        <v>76</v>
      </c>
      <c r="T15" s="8" t="s">
        <v>73</v>
      </c>
      <c r="U15" s="8" t="s">
        <v>74</v>
      </c>
      <c r="V15" s="8" t="s">
        <v>75</v>
      </c>
      <c r="W15" s="72" t="s">
        <v>83</v>
      </c>
      <c r="X15" s="73" t="s">
        <v>84</v>
      </c>
    </row>
    <row r="16" spans="1:24" s="4" customFormat="1" ht="65.45" customHeight="1">
      <c r="A16" s="34">
        <v>8</v>
      </c>
      <c r="B16" s="15" t="s">
        <v>21</v>
      </c>
      <c r="C16" s="34" t="s">
        <v>93</v>
      </c>
      <c r="D16" s="45">
        <v>1.82</v>
      </c>
      <c r="E16" s="45">
        <v>0.26</v>
      </c>
      <c r="F16" s="43">
        <f t="shared" si="3"/>
        <v>0.26</v>
      </c>
      <c r="G16" s="43">
        <v>0.21</v>
      </c>
      <c r="H16" s="17">
        <v>30</v>
      </c>
      <c r="I16" s="44">
        <f>2100*20</f>
        <v>42000</v>
      </c>
      <c r="J16" s="44">
        <f>3000000000/1000000</f>
        <v>3000</v>
      </c>
      <c r="K16" s="44">
        <f>30000000000/1000000</f>
        <v>30000</v>
      </c>
      <c r="L16" s="44">
        <f t="shared" si="2"/>
        <v>9000</v>
      </c>
      <c r="M16" s="69" t="s">
        <v>48</v>
      </c>
      <c r="N16" s="69" t="s">
        <v>49</v>
      </c>
      <c r="O16" s="70" t="s">
        <v>51</v>
      </c>
      <c r="P16" s="17">
        <v>30</v>
      </c>
      <c r="Q16" s="10" t="s">
        <v>26</v>
      </c>
      <c r="R16" s="59">
        <v>20</v>
      </c>
      <c r="S16" s="8" t="s">
        <v>44</v>
      </c>
      <c r="T16" s="8" t="s">
        <v>73</v>
      </c>
      <c r="U16" s="8" t="s">
        <v>74</v>
      </c>
      <c r="V16" s="8" t="s">
        <v>75</v>
      </c>
      <c r="W16" s="72" t="s">
        <v>83</v>
      </c>
      <c r="X16" s="73" t="s">
        <v>84</v>
      </c>
    </row>
    <row r="17" spans="1:24" s="6" customFormat="1" ht="65.45" customHeight="1">
      <c r="A17" s="34">
        <v>9</v>
      </c>
      <c r="B17" s="15" t="s">
        <v>15</v>
      </c>
      <c r="C17" s="34" t="s">
        <v>94</v>
      </c>
      <c r="D17" s="35">
        <v>4.5</v>
      </c>
      <c r="E17" s="35">
        <v>0.14000000000000001</v>
      </c>
      <c r="F17" s="35">
        <v>0.14000000000000001</v>
      </c>
      <c r="G17" s="39">
        <v>0.11</v>
      </c>
      <c r="H17" s="17">
        <v>4</v>
      </c>
      <c r="I17" s="40">
        <f>1100*4</f>
        <v>4400</v>
      </c>
      <c r="J17" s="41" t="s">
        <v>27</v>
      </c>
      <c r="K17" s="40" t="s">
        <v>28</v>
      </c>
      <c r="L17" s="42">
        <f>I17</f>
        <v>4400</v>
      </c>
      <c r="M17" s="71" t="s">
        <v>44</v>
      </c>
      <c r="N17" s="71" t="s">
        <v>44</v>
      </c>
      <c r="O17" s="69" t="s">
        <v>52</v>
      </c>
      <c r="P17" s="17">
        <v>4</v>
      </c>
      <c r="Q17" s="21">
        <v>4</v>
      </c>
      <c r="R17" s="59">
        <v>6</v>
      </c>
      <c r="S17" s="21" t="s">
        <v>44</v>
      </c>
      <c r="T17" s="21" t="s">
        <v>44</v>
      </c>
      <c r="U17" s="21" t="s">
        <v>44</v>
      </c>
      <c r="V17" s="21" t="s">
        <v>44</v>
      </c>
      <c r="W17" s="72" t="s">
        <v>83</v>
      </c>
      <c r="X17" s="73" t="s">
        <v>85</v>
      </c>
    </row>
    <row r="18" spans="1:24" s="13" customFormat="1" ht="25.5" customHeight="1">
      <c r="A18" s="18" t="s">
        <v>4</v>
      </c>
      <c r="B18" s="48" t="s">
        <v>86</v>
      </c>
      <c r="C18" s="49"/>
      <c r="D18" s="50">
        <f t="shared" ref="D18:L18" si="4">SUM(D19:D24)</f>
        <v>10.350000000000001</v>
      </c>
      <c r="E18" s="50">
        <f t="shared" si="4"/>
        <v>4.1720000000000006</v>
      </c>
      <c r="F18" s="50">
        <f t="shared" si="4"/>
        <v>4.1720000000000006</v>
      </c>
      <c r="G18" s="50">
        <f t="shared" si="4"/>
        <v>6.177999999999999</v>
      </c>
      <c r="H18" s="18">
        <f t="shared" si="4"/>
        <v>220</v>
      </c>
      <c r="I18" s="51">
        <f t="shared" si="4"/>
        <v>235400</v>
      </c>
      <c r="J18" s="51">
        <f t="shared" si="4"/>
        <v>12836</v>
      </c>
      <c r="K18" s="51">
        <f t="shared" si="4"/>
        <v>103300</v>
      </c>
      <c r="L18" s="51">
        <f t="shared" si="4"/>
        <v>119264</v>
      </c>
      <c r="M18" s="18"/>
      <c r="N18" s="18"/>
      <c r="O18" s="52"/>
      <c r="P18" s="18">
        <f>SUM(P19:P24)</f>
        <v>220</v>
      </c>
      <c r="Q18" s="19"/>
      <c r="R18" s="20"/>
      <c r="S18" s="62"/>
      <c r="T18" s="62"/>
      <c r="U18" s="66"/>
      <c r="V18" s="66"/>
      <c r="W18" s="62"/>
      <c r="X18" s="62"/>
    </row>
    <row r="19" spans="1:24" s="6" customFormat="1" ht="73.900000000000006" customHeight="1">
      <c r="A19" s="34">
        <v>1</v>
      </c>
      <c r="B19" s="46" t="s">
        <v>29</v>
      </c>
      <c r="C19" s="34" t="s">
        <v>95</v>
      </c>
      <c r="D19" s="53">
        <v>7.0000000000000007E-2</v>
      </c>
      <c r="E19" s="53">
        <v>0.06</v>
      </c>
      <c r="F19" s="35">
        <f>E19</f>
        <v>0.06</v>
      </c>
      <c r="G19" s="39">
        <f>D19-E19</f>
        <v>1.0000000000000009E-2</v>
      </c>
      <c r="H19" s="17">
        <v>1</v>
      </c>
      <c r="I19" s="40">
        <f>E19*10000*15</f>
        <v>9000</v>
      </c>
      <c r="J19" s="47">
        <f>0.5*1000</f>
        <v>500</v>
      </c>
      <c r="K19" s="42">
        <f>0.5*1000</f>
        <v>500</v>
      </c>
      <c r="L19" s="42">
        <f>I19-J19-K19</f>
        <v>8000</v>
      </c>
      <c r="M19" s="69" t="s">
        <v>46</v>
      </c>
      <c r="N19" s="69" t="s">
        <v>53</v>
      </c>
      <c r="O19" s="70" t="s">
        <v>54</v>
      </c>
      <c r="P19" s="17">
        <v>1</v>
      </c>
      <c r="Q19" s="21">
        <v>12</v>
      </c>
      <c r="R19" s="59">
        <v>15</v>
      </c>
      <c r="S19" s="10" t="s">
        <v>77</v>
      </c>
      <c r="T19" s="8" t="s">
        <v>73</v>
      </c>
      <c r="U19" s="8" t="s">
        <v>74</v>
      </c>
      <c r="V19" s="8" t="s">
        <v>75</v>
      </c>
      <c r="W19" s="72" t="s">
        <v>83</v>
      </c>
      <c r="X19" s="73" t="s">
        <v>84</v>
      </c>
    </row>
    <row r="20" spans="1:24" s="6" customFormat="1" ht="73.900000000000006" customHeight="1">
      <c r="A20" s="34">
        <v>2</v>
      </c>
      <c r="B20" s="46" t="s">
        <v>30</v>
      </c>
      <c r="C20" s="34" t="s">
        <v>96</v>
      </c>
      <c r="D20" s="54">
        <v>4.87</v>
      </c>
      <c r="E20" s="53">
        <f>D20*0.4</f>
        <v>1.9480000000000002</v>
      </c>
      <c r="F20" s="35">
        <f t="shared" ref="F20:F24" si="5">E20</f>
        <v>1.9480000000000002</v>
      </c>
      <c r="G20" s="39">
        <f t="shared" ref="G20:G24" si="6">D20-E20</f>
        <v>2.9219999999999997</v>
      </c>
      <c r="H20" s="17">
        <v>81</v>
      </c>
      <c r="I20" s="40">
        <f>E20*10000*5</f>
        <v>97400</v>
      </c>
      <c r="J20" s="47">
        <f>1.2*D20*1000</f>
        <v>5844</v>
      </c>
      <c r="K20" s="42">
        <f t="shared" ref="K20:K24" si="7">10*D20*1000</f>
        <v>48700</v>
      </c>
      <c r="L20" s="42">
        <f>I20-J20-K20</f>
        <v>42856</v>
      </c>
      <c r="M20" s="69" t="s">
        <v>62</v>
      </c>
      <c r="N20" s="69" t="s">
        <v>66</v>
      </c>
      <c r="O20" s="70" t="s">
        <v>63</v>
      </c>
      <c r="P20" s="17">
        <v>81</v>
      </c>
      <c r="Q20" s="21">
        <v>3.5</v>
      </c>
      <c r="R20" s="59">
        <v>5</v>
      </c>
      <c r="S20" s="10" t="s">
        <v>78</v>
      </c>
      <c r="T20" s="8" t="s">
        <v>73</v>
      </c>
      <c r="U20" s="8" t="s">
        <v>74</v>
      </c>
      <c r="V20" s="8" t="s">
        <v>75</v>
      </c>
      <c r="W20" s="72" t="s">
        <v>83</v>
      </c>
      <c r="X20" s="73" t="s">
        <v>84</v>
      </c>
    </row>
    <row r="21" spans="1:24" s="6" customFormat="1" ht="73.900000000000006" customHeight="1">
      <c r="A21" s="34">
        <v>3</v>
      </c>
      <c r="B21" s="46" t="s">
        <v>31</v>
      </c>
      <c r="C21" s="34" t="s">
        <v>92</v>
      </c>
      <c r="D21" s="54">
        <v>1</v>
      </c>
      <c r="E21" s="53">
        <f t="shared" ref="E21:E24" si="8">D21*0.4</f>
        <v>0.4</v>
      </c>
      <c r="F21" s="35">
        <f t="shared" si="5"/>
        <v>0.4</v>
      </c>
      <c r="G21" s="39">
        <f t="shared" si="6"/>
        <v>0.6</v>
      </c>
      <c r="H21" s="17">
        <v>26</v>
      </c>
      <c r="I21" s="40">
        <f>E21*10000*6</f>
        <v>24000</v>
      </c>
      <c r="J21" s="47">
        <f>1.2*D21*1000</f>
        <v>1200</v>
      </c>
      <c r="K21" s="42">
        <f t="shared" si="7"/>
        <v>10000</v>
      </c>
      <c r="L21" s="42">
        <f t="shared" ref="L21:L24" si="9">I21-J21-K21</f>
        <v>12800</v>
      </c>
      <c r="M21" s="69" t="s">
        <v>55</v>
      </c>
      <c r="N21" s="69" t="s">
        <v>56</v>
      </c>
      <c r="O21" s="70" t="s">
        <v>57</v>
      </c>
      <c r="P21" s="17">
        <v>26</v>
      </c>
      <c r="Q21" s="21">
        <v>5</v>
      </c>
      <c r="R21" s="59">
        <v>6</v>
      </c>
      <c r="S21" s="10" t="s">
        <v>76</v>
      </c>
      <c r="T21" s="8" t="s">
        <v>73</v>
      </c>
      <c r="U21" s="8" t="s">
        <v>74</v>
      </c>
      <c r="V21" s="8" t="s">
        <v>75</v>
      </c>
      <c r="W21" s="72" t="s">
        <v>83</v>
      </c>
      <c r="X21" s="73" t="s">
        <v>84</v>
      </c>
    </row>
    <row r="22" spans="1:24" s="6" customFormat="1" ht="73.900000000000006" customHeight="1">
      <c r="A22" s="34">
        <v>4</v>
      </c>
      <c r="B22" s="46" t="s">
        <v>32</v>
      </c>
      <c r="C22" s="34" t="s">
        <v>97</v>
      </c>
      <c r="D22" s="54">
        <v>1.1000000000000001</v>
      </c>
      <c r="E22" s="53">
        <f t="shared" si="8"/>
        <v>0.44000000000000006</v>
      </c>
      <c r="F22" s="35">
        <f t="shared" si="5"/>
        <v>0.44000000000000006</v>
      </c>
      <c r="G22" s="39">
        <f t="shared" si="6"/>
        <v>0.66</v>
      </c>
      <c r="H22" s="17">
        <v>28</v>
      </c>
      <c r="I22" s="40">
        <f>E22*10000*6</f>
        <v>26400.000000000007</v>
      </c>
      <c r="J22" s="47">
        <f>1.2*D22*1000</f>
        <v>1320</v>
      </c>
      <c r="K22" s="42">
        <f t="shared" si="7"/>
        <v>11000</v>
      </c>
      <c r="L22" s="42">
        <f t="shared" si="9"/>
        <v>14080.000000000007</v>
      </c>
      <c r="M22" s="69" t="s">
        <v>59</v>
      </c>
      <c r="N22" s="69" t="s">
        <v>58</v>
      </c>
      <c r="O22" s="70" t="s">
        <v>54</v>
      </c>
      <c r="P22" s="17">
        <v>28</v>
      </c>
      <c r="Q22" s="21">
        <v>5</v>
      </c>
      <c r="R22" s="59">
        <v>6</v>
      </c>
      <c r="S22" s="10" t="s">
        <v>78</v>
      </c>
      <c r="T22" s="8" t="s">
        <v>73</v>
      </c>
      <c r="U22" s="8" t="s">
        <v>74</v>
      </c>
      <c r="V22" s="8" t="s">
        <v>75</v>
      </c>
      <c r="W22" s="72" t="s">
        <v>83</v>
      </c>
      <c r="X22" s="73" t="s">
        <v>84</v>
      </c>
    </row>
    <row r="23" spans="1:24" s="6" customFormat="1" ht="73.900000000000006" customHeight="1">
      <c r="A23" s="34">
        <v>5</v>
      </c>
      <c r="B23" s="46" t="s">
        <v>33</v>
      </c>
      <c r="C23" s="34" t="s">
        <v>98</v>
      </c>
      <c r="D23" s="54">
        <v>0.31</v>
      </c>
      <c r="E23" s="53">
        <f t="shared" si="8"/>
        <v>0.124</v>
      </c>
      <c r="F23" s="35">
        <f t="shared" si="5"/>
        <v>0.124</v>
      </c>
      <c r="G23" s="39">
        <f t="shared" si="6"/>
        <v>0.186</v>
      </c>
      <c r="H23" s="17">
        <v>11</v>
      </c>
      <c r="I23" s="40">
        <f>E23*10000*15</f>
        <v>18600</v>
      </c>
      <c r="J23" s="47">
        <f>1.2*D23*1000</f>
        <v>372</v>
      </c>
      <c r="K23" s="42">
        <f>10*D23*1000</f>
        <v>3100</v>
      </c>
      <c r="L23" s="42">
        <f t="shared" si="9"/>
        <v>15128</v>
      </c>
      <c r="M23" s="69" t="s">
        <v>59</v>
      </c>
      <c r="N23" s="69" t="s">
        <v>60</v>
      </c>
      <c r="O23" s="70" t="s">
        <v>61</v>
      </c>
      <c r="P23" s="17">
        <v>11</v>
      </c>
      <c r="Q23" s="21">
        <v>13.5</v>
      </c>
      <c r="R23" s="59">
        <v>15</v>
      </c>
      <c r="S23" s="10" t="s">
        <v>76</v>
      </c>
      <c r="T23" s="8" t="s">
        <v>73</v>
      </c>
      <c r="U23" s="8" t="s">
        <v>74</v>
      </c>
      <c r="V23" s="8" t="s">
        <v>75</v>
      </c>
      <c r="W23" s="72" t="s">
        <v>83</v>
      </c>
      <c r="X23" s="73" t="s">
        <v>84</v>
      </c>
    </row>
    <row r="24" spans="1:24" s="6" customFormat="1" ht="73.900000000000006" customHeight="1">
      <c r="A24" s="34">
        <v>6</v>
      </c>
      <c r="B24" s="46" t="s">
        <v>34</v>
      </c>
      <c r="C24" s="34" t="s">
        <v>99</v>
      </c>
      <c r="D24" s="54">
        <v>3</v>
      </c>
      <c r="E24" s="53">
        <f t="shared" si="8"/>
        <v>1.2000000000000002</v>
      </c>
      <c r="F24" s="35">
        <f t="shared" si="5"/>
        <v>1.2000000000000002</v>
      </c>
      <c r="G24" s="39">
        <f t="shared" si="6"/>
        <v>1.7999999999999998</v>
      </c>
      <c r="H24" s="17">
        <v>73</v>
      </c>
      <c r="I24" s="40">
        <f>E24*10000*5</f>
        <v>60000.000000000007</v>
      </c>
      <c r="J24" s="47">
        <f>1.2*D24*1000</f>
        <v>3599.9999999999995</v>
      </c>
      <c r="K24" s="42">
        <f t="shared" si="7"/>
        <v>30000</v>
      </c>
      <c r="L24" s="42">
        <f t="shared" si="9"/>
        <v>26400.000000000007</v>
      </c>
      <c r="M24" s="69" t="s">
        <v>62</v>
      </c>
      <c r="N24" s="69" t="s">
        <v>66</v>
      </c>
      <c r="O24" s="70" t="s">
        <v>63</v>
      </c>
      <c r="P24" s="17">
        <v>73</v>
      </c>
      <c r="Q24" s="21">
        <v>1</v>
      </c>
      <c r="R24" s="59">
        <v>5</v>
      </c>
      <c r="S24" s="10" t="s">
        <v>79</v>
      </c>
      <c r="T24" s="8" t="s">
        <v>73</v>
      </c>
      <c r="U24" s="8" t="s">
        <v>74</v>
      </c>
      <c r="V24" s="8" t="s">
        <v>75</v>
      </c>
      <c r="W24" s="72" t="s">
        <v>83</v>
      </c>
      <c r="X24" s="73" t="s">
        <v>84</v>
      </c>
    </row>
    <row r="25" spans="1:24" ht="25.5" customHeight="1"/>
  </sheetData>
  <mergeCells count="25">
    <mergeCell ref="A3:X3"/>
    <mergeCell ref="N5:N6"/>
    <mergeCell ref="O5:O6"/>
    <mergeCell ref="P5:P6"/>
    <mergeCell ref="F5:F6"/>
    <mergeCell ref="G5:G6"/>
    <mergeCell ref="I5:I6"/>
    <mergeCell ref="J5:J6"/>
    <mergeCell ref="K5:K6"/>
    <mergeCell ref="A1:B1"/>
    <mergeCell ref="Q1:R1"/>
    <mergeCell ref="B5:B6"/>
    <mergeCell ref="C5:C6"/>
    <mergeCell ref="D5:D6"/>
    <mergeCell ref="E5:E6"/>
    <mergeCell ref="Q5:Q6"/>
    <mergeCell ref="R5:R6"/>
    <mergeCell ref="A2:X2"/>
    <mergeCell ref="X5:X6"/>
    <mergeCell ref="S5:V5"/>
    <mergeCell ref="W5:W6"/>
    <mergeCell ref="L5:L6"/>
    <mergeCell ref="M5:M6"/>
    <mergeCell ref="A5:A6"/>
    <mergeCell ref="H5:H6"/>
  </mergeCells>
  <pageMargins left="0.5" right="0.5" top="0.75" bottom="0.2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B95DEF56-21E6-4D89-97C0-EB7FBA3C73D7}"/>
</file>

<file path=customXml/itemProps2.xml><?xml version="1.0" encoding="utf-8"?>
<ds:datastoreItem xmlns:ds="http://schemas.openxmlformats.org/officeDocument/2006/customXml" ds:itemID="{A82B6175-E8FE-4154-90F2-EB80CC31873A}"/>
</file>

<file path=customXml/itemProps3.xml><?xml version="1.0" encoding="utf-8"?>
<ds:datastoreItem xmlns:ds="http://schemas.openxmlformats.org/officeDocument/2006/customXml" ds:itemID="{80C6724E-FBD9-4566-AB10-B257F7B932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Biểu số 02</vt:lpstr>
      <vt:lpstr>'Biểu số 02'!Print_Titles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2026-03-25T02:45:37Z</cp:lastPrinted>
  <dcterms:created xsi:type="dcterms:W3CDTF">2020-10-27T02:27:52Z</dcterms:created>
  <dcterms:modified xsi:type="dcterms:W3CDTF">2026-03-27T07:24:04Z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