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5" windowHeight="7650" firstSheet="1" activeTab="4"/>
  </bookViews>
  <sheets>
    <sheet name="B1 Tổng hợp đơn giá" sheetId="6" r:id="rId1"/>
    <sheet name="Biếu số 2" sheetId="8" r:id="rId2"/>
    <sheet name="Biểu số 3-công" sheetId="9" r:id="rId3"/>
    <sheet name="Biểu số 4-Đơn giá máy móc" sheetId="3" r:id="rId4"/>
    <sheet name="Biểu số 5- Đơngiá vật tư, nlieu" sheetId="4" r:id="rId5"/>
  </sheets>
  <externalReferences>
    <externalReference r:id="rId6"/>
    <externalReference r:id="rId7"/>
  </externalReferences>
  <definedNames>
    <definedName name="_xlnm._FilterDatabase" localSheetId="3" hidden="1">'Biểu số 4-Đơn giá máy móc'!$A$14:$XEZ$189</definedName>
    <definedName name="_xlnm.Print_Area" localSheetId="0">'B1 Tổng hợp đơn giá'!$A$1:$I$28</definedName>
    <definedName name="_xlnm.Print_Area" localSheetId="1">'Biếu số 2'!$A$1:$H$16</definedName>
    <definedName name="_xlnm.Print_Area" localSheetId="4">'Biểu số 5- Đơngiá vật tư, nlieu'!$A$1:$G$423</definedName>
    <definedName name="_xlnm.Print_Titles" localSheetId="0">'B1 Tổng hợp đơn giá'!$A:$I,'B1 Tổng hợp đơn giá'!$5:$7</definedName>
    <definedName name="_xlnm.Print_Titles" localSheetId="2">'Biểu số 3-công'!$A:$G,'Biểu số 3-công'!$4:$4</definedName>
  </definedNames>
  <calcPr calcId="145621"/>
</workbook>
</file>

<file path=xl/calcChain.xml><?xml version="1.0" encoding="utf-8"?>
<calcChain xmlns="http://schemas.openxmlformats.org/spreadsheetml/2006/main">
  <c r="F147" i="3" l="1"/>
  <c r="F20" i="3"/>
  <c r="F110" i="3"/>
  <c r="F172" i="3"/>
  <c r="F161" i="3"/>
  <c r="F151" i="3"/>
  <c r="F132" i="3"/>
  <c r="E424" i="4" l="1"/>
  <c r="I263" i="4"/>
  <c r="H393" i="4"/>
  <c r="H380" i="4"/>
  <c r="H378" i="4"/>
  <c r="H371" i="4"/>
  <c r="H366" i="4"/>
  <c r="H351" i="4"/>
  <c r="H333" i="4"/>
  <c r="H332" i="4"/>
  <c r="H331" i="4"/>
  <c r="F132" i="4"/>
  <c r="F131" i="4"/>
  <c r="F97" i="4"/>
  <c r="I89" i="4"/>
  <c r="F30" i="4"/>
  <c r="F9" i="3"/>
  <c r="H9" i="3" s="1"/>
  <c r="F446" i="4" l="1"/>
  <c r="F445" i="4"/>
  <c r="F442" i="4"/>
  <c r="F441" i="4"/>
  <c r="F440" i="4"/>
  <c r="F439" i="4"/>
  <c r="F438" i="4"/>
  <c r="E437" i="4"/>
  <c r="F437" i="4" s="1"/>
  <c r="F436" i="4"/>
  <c r="F435" i="4"/>
  <c r="F434" i="4"/>
  <c r="F433" i="4"/>
  <c r="F432" i="4"/>
  <c r="F431" i="4"/>
  <c r="E430" i="4"/>
  <c r="F430" i="4" s="1"/>
  <c r="E429" i="4"/>
  <c r="F429" i="4" s="1"/>
  <c r="E428" i="4"/>
  <c r="F428" i="4" s="1"/>
  <c r="F427" i="4"/>
  <c r="F424" i="4"/>
  <c r="E423" i="4"/>
  <c r="F423" i="4" s="1"/>
  <c r="E422" i="4"/>
  <c r="F422" i="4" s="1"/>
  <c r="E421" i="4"/>
  <c r="F421" i="4" s="1"/>
  <c r="E420" i="4"/>
  <c r="F420" i="4" s="1"/>
  <c r="E419" i="4"/>
  <c r="F419" i="4" s="1"/>
  <c r="F413" i="4"/>
  <c r="F412" i="4"/>
  <c r="E409" i="4"/>
  <c r="F409" i="4" s="1"/>
  <c r="E408" i="4"/>
  <c r="F408" i="4" s="1"/>
  <c r="F407" i="4"/>
  <c r="F406" i="4"/>
  <c r="E405" i="4"/>
  <c r="F405" i="4" s="1"/>
  <c r="F404" i="4"/>
  <c r="F403" i="4"/>
  <c r="F402" i="4"/>
  <c r="E401" i="4"/>
  <c r="F401" i="4" s="1"/>
  <c r="F400" i="4"/>
  <c r="E399" i="4"/>
  <c r="F399" i="4" s="1"/>
  <c r="E396" i="4"/>
  <c r="F396" i="4" s="1"/>
  <c r="E395" i="4"/>
  <c r="F395" i="4" s="1"/>
  <c r="E394" i="4"/>
  <c r="F394" i="4" s="1"/>
  <c r="F393" i="4"/>
  <c r="E392" i="4"/>
  <c r="F392" i="4" s="1"/>
  <c r="F391" i="4"/>
  <c r="F390" i="4"/>
  <c r="F384" i="4"/>
  <c r="F383" i="4"/>
  <c r="E380" i="4"/>
  <c r="F380" i="4" s="1"/>
  <c r="E379" i="4"/>
  <c r="F379" i="4" s="1"/>
  <c r="E378" i="4"/>
  <c r="F378" i="4" s="1"/>
  <c r="F377" i="4"/>
  <c r="E376" i="4"/>
  <c r="F376" i="4" s="1"/>
  <c r="F375" i="4"/>
  <c r="E374" i="4"/>
  <c r="F374" i="4" s="1"/>
  <c r="F373" i="4"/>
  <c r="F372" i="4"/>
  <c r="E371" i="4"/>
  <c r="F371" i="4" s="1"/>
  <c r="F370" i="4"/>
  <c r="E367" i="4"/>
  <c r="F367" i="4" s="1"/>
  <c r="E366" i="4"/>
  <c r="F366" i="4" s="1"/>
  <c r="E365" i="4"/>
  <c r="F365" i="4" s="1"/>
  <c r="F364" i="4"/>
  <c r="E363" i="4"/>
  <c r="F363" i="4" s="1"/>
  <c r="E362" i="4"/>
  <c r="F362" i="4" s="1"/>
  <c r="F356" i="4"/>
  <c r="F355" i="4"/>
  <c r="E352" i="4"/>
  <c r="F352" i="4" s="1"/>
  <c r="F351" i="4"/>
  <c r="F350" i="4"/>
  <c r="F349" i="4"/>
  <c r="F348" i="4"/>
  <c r="F347" i="4"/>
  <c r="E346" i="4"/>
  <c r="F346" i="4" s="1"/>
  <c r="F345" i="4"/>
  <c r="F344" i="4"/>
  <c r="E343" i="4"/>
  <c r="F343" i="4" s="1"/>
  <c r="F342" i="4"/>
  <c r="E339" i="4"/>
  <c r="F339" i="4" s="1"/>
  <c r="F338" i="4"/>
  <c r="E337" i="4"/>
  <c r="F337" i="4" s="1"/>
  <c r="E336" i="4"/>
  <c r="F336" i="4" s="1"/>
  <c r="F335" i="4"/>
  <c r="E334" i="4"/>
  <c r="F334" i="4" s="1"/>
  <c r="E333" i="4"/>
  <c r="F333" i="4" s="1"/>
  <c r="E332" i="4"/>
  <c r="F332" i="4" s="1"/>
  <c r="E331" i="4"/>
  <c r="F331" i="4" s="1"/>
  <c r="F325" i="4"/>
  <c r="F324" i="4"/>
  <c r="F321" i="4"/>
  <c r="E320" i="4"/>
  <c r="F320" i="4" s="1"/>
  <c r="E319" i="4"/>
  <c r="F319" i="4" s="1"/>
  <c r="F318" i="4"/>
  <c r="F317" i="4"/>
  <c r="F316" i="4"/>
  <c r="E315" i="4"/>
  <c r="F315" i="4" s="1"/>
  <c r="F314" i="4"/>
  <c r="E313" i="4"/>
  <c r="F313" i="4" s="1"/>
  <c r="E310" i="4"/>
  <c r="F310" i="4" s="1"/>
  <c r="E309" i="4"/>
  <c r="F309" i="4" s="1"/>
  <c r="E308" i="4"/>
  <c r="F308" i="4" s="1"/>
  <c r="E307" i="4"/>
  <c r="F307" i="4" s="1"/>
  <c r="E306" i="4"/>
  <c r="F306" i="4" s="1"/>
  <c r="E305" i="4"/>
  <c r="F305" i="4" s="1"/>
  <c r="E304" i="4"/>
  <c r="F304" i="4" s="1"/>
  <c r="F297" i="4"/>
  <c r="F296" i="4"/>
  <c r="F293" i="4"/>
  <c r="F292" i="4"/>
  <c r="F291" i="4"/>
  <c r="F290" i="4"/>
  <c r="F289" i="4"/>
  <c r="F288" i="4"/>
  <c r="F287" i="4"/>
  <c r="F286" i="4"/>
  <c r="F285" i="4"/>
  <c r="F284" i="4"/>
  <c r="E281" i="4"/>
  <c r="F281" i="4" s="1"/>
  <c r="E280" i="4"/>
  <c r="F280" i="4" s="1"/>
  <c r="E279" i="4"/>
  <c r="F279" i="4" s="1"/>
  <c r="E278" i="4"/>
  <c r="F278" i="4" s="1"/>
  <c r="E277" i="4"/>
  <c r="F277" i="4" s="1"/>
  <c r="E276" i="4"/>
  <c r="F276" i="4" s="1"/>
  <c r="E275" i="4"/>
  <c r="F275" i="4" s="1"/>
  <c r="E274" i="4"/>
  <c r="F274" i="4" s="1"/>
  <c r="E273" i="4"/>
  <c r="F273" i="4" s="1"/>
  <c r="E272" i="4"/>
  <c r="F272" i="4" s="1"/>
  <c r="E271" i="4"/>
  <c r="F271" i="4" s="1"/>
  <c r="E270" i="4"/>
  <c r="F270" i="4" s="1"/>
  <c r="E269" i="4"/>
  <c r="F269" i="4" s="1"/>
  <c r="E268" i="4"/>
  <c r="F268" i="4" s="1"/>
  <c r="E267" i="4"/>
  <c r="F267" i="4" s="1"/>
  <c r="E266" i="4"/>
  <c r="F266" i="4" s="1"/>
  <c r="E265" i="4"/>
  <c r="F265" i="4" s="1"/>
  <c r="E264" i="4"/>
  <c r="F264" i="4" s="1"/>
  <c r="E263" i="4"/>
  <c r="F263" i="4" s="1"/>
  <c r="F262" i="4"/>
  <c r="E261" i="4"/>
  <c r="F261" i="4" s="1"/>
  <c r="E260" i="4"/>
  <c r="F260" i="4" s="1"/>
  <c r="E259" i="4"/>
  <c r="F259" i="4" s="1"/>
  <c r="E258" i="4"/>
  <c r="F258" i="4" s="1"/>
  <c r="E257" i="4"/>
  <c r="F257" i="4" s="1"/>
  <c r="E256" i="4"/>
  <c r="F256" i="4" s="1"/>
  <c r="F255" i="4"/>
  <c r="F254" i="4"/>
  <c r="E253" i="4"/>
  <c r="F253" i="4" s="1"/>
  <c r="E252" i="4"/>
  <c r="F252" i="4" s="1"/>
  <c r="F246" i="4"/>
  <c r="F245" i="4"/>
  <c r="F242" i="4"/>
  <c r="F241" i="4"/>
  <c r="E240" i="4"/>
  <c r="F240" i="4" s="1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4" i="4"/>
  <c r="F223" i="4"/>
  <c r="E222" i="4"/>
  <c r="F222" i="4" s="1"/>
  <c r="E221" i="4"/>
  <c r="F221" i="4" s="1"/>
  <c r="E220" i="4"/>
  <c r="F220" i="4" s="1"/>
  <c r="E219" i="4"/>
  <c r="F219" i="4" s="1"/>
  <c r="E218" i="4"/>
  <c r="F218" i="4" s="1"/>
  <c r="E217" i="4"/>
  <c r="F217" i="4" s="1"/>
  <c r="F211" i="4"/>
  <c r="F210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E189" i="4"/>
  <c r="F189" i="4" s="1"/>
  <c r="E188" i="4"/>
  <c r="F188" i="4" s="1"/>
  <c r="E187" i="4"/>
  <c r="F187" i="4" s="1"/>
  <c r="E186" i="4"/>
  <c r="F186" i="4" s="1"/>
  <c r="E185" i="4"/>
  <c r="F185" i="4" s="1"/>
  <c r="E184" i="4"/>
  <c r="F184" i="4" s="1"/>
  <c r="E183" i="4"/>
  <c r="F183" i="4" s="1"/>
  <c r="E182" i="4"/>
  <c r="F182" i="4" s="1"/>
  <c r="E181" i="4"/>
  <c r="F181" i="4" s="1"/>
  <c r="E180" i="4"/>
  <c r="F180" i="4" s="1"/>
  <c r="E179" i="4"/>
  <c r="F179" i="4" s="1"/>
  <c r="E178" i="4"/>
  <c r="F178" i="4" s="1"/>
  <c r="E177" i="4"/>
  <c r="F177" i="4" s="1"/>
  <c r="E176" i="4"/>
  <c r="F176" i="4" s="1"/>
  <c r="E175" i="4"/>
  <c r="F175" i="4" s="1"/>
  <c r="E174" i="4"/>
  <c r="F174" i="4" s="1"/>
  <c r="F173" i="4"/>
  <c r="F172" i="4"/>
  <c r="E171" i="4"/>
  <c r="F171" i="4" s="1"/>
  <c r="E170" i="4"/>
  <c r="F170" i="4" s="1"/>
  <c r="E169" i="4"/>
  <c r="F169" i="4" s="1"/>
  <c r="E168" i="4"/>
  <c r="F168" i="4" s="1"/>
  <c r="E167" i="4"/>
  <c r="F167" i="4" s="1"/>
  <c r="E166" i="4"/>
  <c r="F166" i="4" s="1"/>
  <c r="E165" i="4"/>
  <c r="F165" i="4" s="1"/>
  <c r="E164" i="4"/>
  <c r="F164" i="4" s="1"/>
  <c r="E163" i="4"/>
  <c r="F163" i="4" s="1"/>
  <c r="E162" i="4"/>
  <c r="F162" i="4" s="1"/>
  <c r="E161" i="4"/>
  <c r="F161" i="4" s="1"/>
  <c r="F149" i="4"/>
  <c r="F148" i="4"/>
  <c r="F147" i="4"/>
  <c r="F143" i="4"/>
  <c r="F142" i="4"/>
  <c r="F133" i="4"/>
  <c r="F139" i="4"/>
  <c r="F138" i="4"/>
  <c r="F136" i="4"/>
  <c r="F137" i="4"/>
  <c r="F135" i="4"/>
  <c r="F134" i="4"/>
  <c r="F126" i="4"/>
  <c r="F125" i="4"/>
  <c r="F122" i="4"/>
  <c r="F121" i="4"/>
  <c r="F116" i="4"/>
  <c r="F119" i="4"/>
  <c r="F118" i="4"/>
  <c r="F115" i="4"/>
  <c r="F120" i="4"/>
  <c r="F114" i="4"/>
  <c r="F113" i="4"/>
  <c r="F112" i="4"/>
  <c r="F117" i="4"/>
  <c r="F111" i="4"/>
  <c r="F110" i="4"/>
  <c r="F104" i="4"/>
  <c r="F103" i="4"/>
  <c r="F102" i="4"/>
  <c r="F99" i="4"/>
  <c r="F98" i="4"/>
  <c r="F95" i="4"/>
  <c r="F94" i="4"/>
  <c r="F93" i="4"/>
  <c r="F92" i="4"/>
  <c r="F91" i="4"/>
  <c r="F96" i="4"/>
  <c r="F90" i="4"/>
  <c r="F84" i="4"/>
  <c r="F83" i="4"/>
  <c r="F82" i="4"/>
  <c r="F79" i="4"/>
  <c r="F78" i="4"/>
  <c r="F77" i="4"/>
  <c r="F76" i="4"/>
  <c r="F75" i="4"/>
  <c r="F74" i="4"/>
  <c r="F73" i="4"/>
  <c r="F72" i="4"/>
  <c r="E71" i="4"/>
  <c r="F71" i="4" s="1"/>
  <c r="F70" i="4"/>
  <c r="F64" i="4"/>
  <c r="F63" i="4"/>
  <c r="F62" i="4"/>
  <c r="F59" i="4"/>
  <c r="F58" i="4"/>
  <c r="F57" i="4"/>
  <c r="F56" i="4"/>
  <c r="F55" i="4"/>
  <c r="F54" i="4"/>
  <c r="F53" i="4"/>
  <c r="F52" i="4"/>
  <c r="E51" i="4"/>
  <c r="F51" i="4" s="1"/>
  <c r="F50" i="4"/>
  <c r="F44" i="4"/>
  <c r="F43" i="4"/>
  <c r="F42" i="4"/>
  <c r="F39" i="4"/>
  <c r="F38" i="4"/>
  <c r="F37" i="4"/>
  <c r="F36" i="4"/>
  <c r="F35" i="4"/>
  <c r="F34" i="4"/>
  <c r="F33" i="4"/>
  <c r="F32" i="4"/>
  <c r="E31" i="4"/>
  <c r="F31" i="4" s="1"/>
  <c r="F24" i="4"/>
  <c r="F23" i="4"/>
  <c r="F22" i="4"/>
  <c r="F19" i="4"/>
  <c r="F18" i="4"/>
  <c r="F17" i="4"/>
  <c r="F16" i="4"/>
  <c r="F15" i="4"/>
  <c r="F14" i="4"/>
  <c r="F13" i="4"/>
  <c r="F12" i="4"/>
  <c r="E11" i="4"/>
  <c r="F11" i="4" s="1"/>
  <c r="F10" i="4"/>
  <c r="F188" i="3"/>
  <c r="H188" i="3" s="1"/>
  <c r="I188" i="3" s="1"/>
  <c r="F187" i="3"/>
  <c r="F186" i="3"/>
  <c r="F185" i="3"/>
  <c r="H185" i="3" s="1"/>
  <c r="I185" i="3" s="1"/>
  <c r="F184" i="3"/>
  <c r="H184" i="3" s="1"/>
  <c r="I184" i="3" s="1"/>
  <c r="F183" i="3"/>
  <c r="H183" i="3" s="1"/>
  <c r="I183" i="3" s="1"/>
  <c r="F182" i="3"/>
  <c r="H182" i="3" s="1"/>
  <c r="I182" i="3" s="1"/>
  <c r="F179" i="3"/>
  <c r="H179" i="3" s="1"/>
  <c r="I179" i="3" s="1"/>
  <c r="F178" i="3"/>
  <c r="H178" i="3" s="1"/>
  <c r="I178" i="3" s="1"/>
  <c r="G177" i="3"/>
  <c r="F177" i="3"/>
  <c r="G176" i="3"/>
  <c r="G187" i="3" s="1"/>
  <c r="F176" i="3"/>
  <c r="G175" i="3"/>
  <c r="G186" i="3" s="1"/>
  <c r="F175" i="3"/>
  <c r="G174" i="3"/>
  <c r="F174" i="3"/>
  <c r="G173" i="3"/>
  <c r="F173" i="3"/>
  <c r="H172" i="3"/>
  <c r="I172" i="3" s="1"/>
  <c r="F169" i="3"/>
  <c r="H169" i="3" s="1"/>
  <c r="I169" i="3" s="1"/>
  <c r="F168" i="3"/>
  <c r="H168" i="3" s="1"/>
  <c r="I168" i="3" s="1"/>
  <c r="F167" i="3"/>
  <c r="H167" i="3" s="1"/>
  <c r="I167" i="3" s="1"/>
  <c r="F166" i="3"/>
  <c r="H166" i="3" s="1"/>
  <c r="I166" i="3" s="1"/>
  <c r="F165" i="3"/>
  <c r="H165" i="3" s="1"/>
  <c r="I165" i="3" s="1"/>
  <c r="F164" i="3"/>
  <c r="H164" i="3" s="1"/>
  <c r="I164" i="3" s="1"/>
  <c r="F163" i="3"/>
  <c r="H163" i="3" s="1"/>
  <c r="I163" i="3" s="1"/>
  <c r="F162" i="3"/>
  <c r="H162" i="3" s="1"/>
  <c r="I162" i="3" s="1"/>
  <c r="H161" i="3"/>
  <c r="I161" i="3" s="1"/>
  <c r="F158" i="3"/>
  <c r="H158" i="3" s="1"/>
  <c r="I158" i="3" s="1"/>
  <c r="F157" i="3"/>
  <c r="H157" i="3" s="1"/>
  <c r="I157" i="3" s="1"/>
  <c r="F156" i="3"/>
  <c r="H156" i="3" s="1"/>
  <c r="I156" i="3" s="1"/>
  <c r="F155" i="3"/>
  <c r="H155" i="3" s="1"/>
  <c r="I155" i="3" s="1"/>
  <c r="F154" i="3"/>
  <c r="H154" i="3" s="1"/>
  <c r="I154" i="3" s="1"/>
  <c r="F153" i="3"/>
  <c r="H153" i="3" s="1"/>
  <c r="I153" i="3" s="1"/>
  <c r="F152" i="3"/>
  <c r="H152" i="3" s="1"/>
  <c r="I152" i="3" s="1"/>
  <c r="H151" i="3"/>
  <c r="I151" i="3" s="1"/>
  <c r="F148" i="3"/>
  <c r="H148" i="3" s="1"/>
  <c r="I148" i="3" s="1"/>
  <c r="H147" i="3"/>
  <c r="I147" i="3" s="1"/>
  <c r="F146" i="3"/>
  <c r="H146" i="3" s="1"/>
  <c r="I146" i="3" s="1"/>
  <c r="F145" i="3"/>
  <c r="H145" i="3" s="1"/>
  <c r="I145" i="3" s="1"/>
  <c r="F144" i="3"/>
  <c r="H144" i="3" s="1"/>
  <c r="I144" i="3" s="1"/>
  <c r="F143" i="3"/>
  <c r="H143" i="3" s="1"/>
  <c r="I143" i="3" s="1"/>
  <c r="F142" i="3"/>
  <c r="H142" i="3" s="1"/>
  <c r="I142" i="3" s="1"/>
  <c r="F141" i="3"/>
  <c r="H141" i="3" s="1"/>
  <c r="I141" i="3" s="1"/>
  <c r="F140" i="3"/>
  <c r="H140" i="3" s="1"/>
  <c r="I140" i="3" s="1"/>
  <c r="F139" i="3"/>
  <c r="H139" i="3" s="1"/>
  <c r="I139" i="3" s="1"/>
  <c r="F138" i="3"/>
  <c r="H138" i="3" s="1"/>
  <c r="I138" i="3" s="1"/>
  <c r="F137" i="3"/>
  <c r="H137" i="3" s="1"/>
  <c r="I137" i="3" s="1"/>
  <c r="F136" i="3"/>
  <c r="H136" i="3" s="1"/>
  <c r="I136" i="3" s="1"/>
  <c r="F135" i="3"/>
  <c r="H135" i="3" s="1"/>
  <c r="I135" i="3" s="1"/>
  <c r="F134" i="3"/>
  <c r="H134" i="3" s="1"/>
  <c r="I134" i="3" s="1"/>
  <c r="F133" i="3"/>
  <c r="H133" i="3" s="1"/>
  <c r="I133" i="3" s="1"/>
  <c r="H132" i="3"/>
  <c r="I132" i="3" s="1"/>
  <c r="F126" i="3"/>
  <c r="H126" i="3" s="1"/>
  <c r="I126" i="3" s="1"/>
  <c r="F125" i="3"/>
  <c r="H125" i="3" s="1"/>
  <c r="I125" i="3" s="1"/>
  <c r="F124" i="3"/>
  <c r="H124" i="3" s="1"/>
  <c r="I124" i="3" s="1"/>
  <c r="F123" i="3"/>
  <c r="H123" i="3" s="1"/>
  <c r="I123" i="3" s="1"/>
  <c r="F122" i="3"/>
  <c r="H122" i="3" s="1"/>
  <c r="I122" i="3" s="1"/>
  <c r="F121" i="3"/>
  <c r="H121" i="3" s="1"/>
  <c r="I121" i="3" s="1"/>
  <c r="F120" i="3"/>
  <c r="H120" i="3" s="1"/>
  <c r="I120" i="3" s="1"/>
  <c r="F119" i="3"/>
  <c r="H119" i="3" s="1"/>
  <c r="I119" i="3" s="1"/>
  <c r="F118" i="3"/>
  <c r="H118" i="3" s="1"/>
  <c r="I118" i="3" s="1"/>
  <c r="F117" i="3"/>
  <c r="H117" i="3" s="1"/>
  <c r="I117" i="3" s="1"/>
  <c r="F116" i="3"/>
  <c r="H116" i="3" s="1"/>
  <c r="I116" i="3" s="1"/>
  <c r="F115" i="3"/>
  <c r="F114" i="3"/>
  <c r="H114" i="3" s="1"/>
  <c r="I114" i="3" s="1"/>
  <c r="F113" i="3"/>
  <c r="F112" i="3"/>
  <c r="F111" i="3"/>
  <c r="H110" i="3"/>
  <c r="I110" i="3" s="1"/>
  <c r="F107" i="3"/>
  <c r="H107" i="3" s="1"/>
  <c r="I107" i="3" s="1"/>
  <c r="F106" i="3"/>
  <c r="H106" i="3" s="1"/>
  <c r="I106" i="3" s="1"/>
  <c r="F105" i="3"/>
  <c r="H105" i="3" s="1"/>
  <c r="I105" i="3" s="1"/>
  <c r="F104" i="3"/>
  <c r="H104" i="3" s="1"/>
  <c r="I104" i="3" s="1"/>
  <c r="F103" i="3"/>
  <c r="H103" i="3" s="1"/>
  <c r="I103" i="3" s="1"/>
  <c r="F102" i="3"/>
  <c r="H102" i="3" s="1"/>
  <c r="I102" i="3" s="1"/>
  <c r="F101" i="3"/>
  <c r="H101" i="3" s="1"/>
  <c r="I101" i="3" s="1"/>
  <c r="F100" i="3"/>
  <c r="H100" i="3" s="1"/>
  <c r="I100" i="3" s="1"/>
  <c r="F99" i="3"/>
  <c r="H99" i="3" s="1"/>
  <c r="I99" i="3" s="1"/>
  <c r="G98" i="3"/>
  <c r="G113" i="3" s="1"/>
  <c r="F98" i="3"/>
  <c r="G97" i="3"/>
  <c r="G115" i="3" s="1"/>
  <c r="F97" i="3"/>
  <c r="G96" i="3"/>
  <c r="G112" i="3" s="1"/>
  <c r="F96" i="3"/>
  <c r="G95" i="3"/>
  <c r="F95" i="3"/>
  <c r="G94" i="3"/>
  <c r="F94" i="3"/>
  <c r="F91" i="3"/>
  <c r="H91" i="3" s="1"/>
  <c r="I91" i="3" s="1"/>
  <c r="F90" i="3"/>
  <c r="H90" i="3" s="1"/>
  <c r="I90" i="3" s="1"/>
  <c r="F89" i="3"/>
  <c r="H89" i="3" s="1"/>
  <c r="I89" i="3" s="1"/>
  <c r="F88" i="3"/>
  <c r="H88" i="3" s="1"/>
  <c r="I88" i="3" s="1"/>
  <c r="F87" i="3"/>
  <c r="H87" i="3" s="1"/>
  <c r="I87" i="3" s="1"/>
  <c r="F86" i="3"/>
  <c r="H86" i="3" s="1"/>
  <c r="I86" i="3" s="1"/>
  <c r="F85" i="3"/>
  <c r="H85" i="3" s="1"/>
  <c r="I85" i="3" s="1"/>
  <c r="F84" i="3"/>
  <c r="H84" i="3" s="1"/>
  <c r="I84" i="3" s="1"/>
  <c r="F83" i="3"/>
  <c r="H83" i="3" s="1"/>
  <c r="I83" i="3" s="1"/>
  <c r="F82" i="3"/>
  <c r="H82" i="3" s="1"/>
  <c r="I82" i="3" s="1"/>
  <c r="F81" i="3"/>
  <c r="H81" i="3" s="1"/>
  <c r="I81" i="3" s="1"/>
  <c r="F80" i="3"/>
  <c r="H80" i="3" s="1"/>
  <c r="I80" i="3" s="1"/>
  <c r="F79" i="3"/>
  <c r="H79" i="3" s="1"/>
  <c r="I79" i="3" s="1"/>
  <c r="F78" i="3"/>
  <c r="H78" i="3" s="1"/>
  <c r="I78" i="3" s="1"/>
  <c r="F77" i="3"/>
  <c r="H77" i="3" s="1"/>
  <c r="I77" i="3" s="1"/>
  <c r="F76" i="3"/>
  <c r="H76" i="3" s="1"/>
  <c r="I76" i="3" s="1"/>
  <c r="F75" i="3"/>
  <c r="H75" i="3" s="1"/>
  <c r="I75" i="3" s="1"/>
  <c r="F74" i="3"/>
  <c r="H74" i="3" s="1"/>
  <c r="I74" i="3" s="1"/>
  <c r="F73" i="3"/>
  <c r="H73" i="3" s="1"/>
  <c r="I73" i="3" s="1"/>
  <c r="F61" i="3"/>
  <c r="H61" i="3" s="1"/>
  <c r="I61" i="3" s="1"/>
  <c r="F67" i="3"/>
  <c r="H67" i="3" s="1"/>
  <c r="I67" i="3" s="1"/>
  <c r="F66" i="3"/>
  <c r="H66" i="3" s="1"/>
  <c r="I66" i="3" s="1"/>
  <c r="F65" i="3"/>
  <c r="H65" i="3" s="1"/>
  <c r="I65" i="3" s="1"/>
  <c r="F64" i="3"/>
  <c r="H64" i="3" s="1"/>
  <c r="I64" i="3" s="1"/>
  <c r="F63" i="3"/>
  <c r="H63" i="3" s="1"/>
  <c r="I63" i="3" s="1"/>
  <c r="F60" i="3"/>
  <c r="H60" i="3" s="1"/>
  <c r="I60" i="3" s="1"/>
  <c r="F62" i="3"/>
  <c r="H62" i="3" s="1"/>
  <c r="I62" i="3" s="1"/>
  <c r="F59" i="3"/>
  <c r="H59" i="3" s="1"/>
  <c r="I59" i="3" s="1"/>
  <c r="F48" i="3"/>
  <c r="H48" i="3" s="1"/>
  <c r="I48" i="3" s="1"/>
  <c r="F54" i="3"/>
  <c r="H54" i="3" s="1"/>
  <c r="I54" i="3" s="1"/>
  <c r="F53" i="3"/>
  <c r="H53" i="3" s="1"/>
  <c r="I53" i="3" s="1"/>
  <c r="F52" i="3"/>
  <c r="H52" i="3" s="1"/>
  <c r="I52" i="3" s="1"/>
  <c r="F51" i="3"/>
  <c r="H51" i="3" s="1"/>
  <c r="I51" i="3" s="1"/>
  <c r="F50" i="3"/>
  <c r="H50" i="3" s="1"/>
  <c r="I50" i="3" s="1"/>
  <c r="F47" i="3"/>
  <c r="H47" i="3" s="1"/>
  <c r="I47" i="3" s="1"/>
  <c r="F49" i="3"/>
  <c r="H49" i="3" s="1"/>
  <c r="I49" i="3" s="1"/>
  <c r="F46" i="3"/>
  <c r="H46" i="3" s="1"/>
  <c r="I46" i="3" s="1"/>
  <c r="F35" i="3"/>
  <c r="F41" i="3"/>
  <c r="F40" i="3"/>
  <c r="F39" i="3"/>
  <c r="F38" i="3"/>
  <c r="H38" i="3" s="1"/>
  <c r="I38" i="3" s="1"/>
  <c r="F37" i="3"/>
  <c r="F34" i="3"/>
  <c r="F36" i="3"/>
  <c r="F33" i="3"/>
  <c r="F27" i="3"/>
  <c r="H27" i="3" s="1"/>
  <c r="I27" i="3" s="1"/>
  <c r="G26" i="3"/>
  <c r="F26" i="3"/>
  <c r="F25" i="3"/>
  <c r="H25" i="3" s="1"/>
  <c r="I25" i="3" s="1"/>
  <c r="F24" i="3"/>
  <c r="F23" i="3"/>
  <c r="H23" i="3" s="1"/>
  <c r="I23" i="3" s="1"/>
  <c r="F22" i="3"/>
  <c r="H22" i="3" s="1"/>
  <c r="I22" i="3" s="1"/>
  <c r="F21" i="3"/>
  <c r="H21" i="3" s="1"/>
  <c r="I21" i="3" s="1"/>
  <c r="H20" i="3"/>
  <c r="I20" i="3" s="1"/>
  <c r="F19" i="3"/>
  <c r="H19" i="3" s="1"/>
  <c r="I19" i="3" s="1"/>
  <c r="F18" i="3"/>
  <c r="H18" i="3" s="1"/>
  <c r="I18" i="3" s="1"/>
  <c r="F17" i="3"/>
  <c r="H17" i="3" s="1"/>
  <c r="I17" i="3" s="1"/>
  <c r="F11" i="3"/>
  <c r="H11" i="3" s="1"/>
  <c r="I11" i="3" s="1"/>
  <c r="F10" i="3"/>
  <c r="I9" i="3"/>
  <c r="E17" i="9"/>
  <c r="F17" i="9" s="1"/>
  <c r="E16" i="9"/>
  <c r="F16" i="9" s="1"/>
  <c r="E15" i="8"/>
  <c r="G15" i="8" s="1"/>
  <c r="E67" i="9" s="1"/>
  <c r="F67" i="9" s="1"/>
  <c r="E14" i="8"/>
  <c r="G14" i="8" s="1"/>
  <c r="E13" i="8"/>
  <c r="G13" i="8" s="1"/>
  <c r="E12" i="8"/>
  <c r="G12" i="8" s="1"/>
  <c r="E11" i="8"/>
  <c r="G11" i="8" s="1"/>
  <c r="E10" i="8"/>
  <c r="G10" i="8" s="1"/>
  <c r="E9" i="8"/>
  <c r="G9" i="8" s="1"/>
  <c r="E39" i="9" s="1"/>
  <c r="F39" i="9" s="1"/>
  <c r="E8" i="8"/>
  <c r="G8" i="8" s="1"/>
  <c r="E7" i="8"/>
  <c r="G7" i="8" s="1"/>
  <c r="E54" i="9" s="1"/>
  <c r="F54" i="9" s="1"/>
  <c r="E6" i="8"/>
  <c r="G6" i="8" s="1"/>
  <c r="F100" i="4" l="1"/>
  <c r="E23" i="9"/>
  <c r="F23" i="9" s="1"/>
  <c r="F15" i="9"/>
  <c r="C12" i="6" s="1"/>
  <c r="F123" i="4"/>
  <c r="E14" i="6" s="1"/>
  <c r="F447" i="4"/>
  <c r="F28" i="6" s="1"/>
  <c r="H41" i="3"/>
  <c r="I41" i="3" s="1"/>
  <c r="H33" i="3"/>
  <c r="I33" i="3" s="1"/>
  <c r="H35" i="3"/>
  <c r="I35" i="3" s="1"/>
  <c r="H37" i="3"/>
  <c r="I37" i="3" s="1"/>
  <c r="H34" i="3"/>
  <c r="I34" i="3" s="1"/>
  <c r="H40" i="3"/>
  <c r="I40" i="3" s="1"/>
  <c r="H36" i="3"/>
  <c r="I36" i="3" s="1"/>
  <c r="H39" i="3"/>
  <c r="I39" i="3" s="1"/>
  <c r="H24" i="3"/>
  <c r="I24" i="3" s="1"/>
  <c r="H10" i="3"/>
  <c r="I10" i="3" s="1"/>
  <c r="I12" i="3" s="1"/>
  <c r="D13" i="6" s="1"/>
  <c r="F247" i="4"/>
  <c r="F21" i="6" s="1"/>
  <c r="F212" i="4"/>
  <c r="F20" i="6" s="1"/>
  <c r="F127" i="4"/>
  <c r="F14" i="6" s="1"/>
  <c r="F105" i="4"/>
  <c r="F13" i="6" s="1"/>
  <c r="F298" i="4"/>
  <c r="F22" i="6" s="1"/>
  <c r="F385" i="4"/>
  <c r="F26" i="6" s="1"/>
  <c r="F144" i="4"/>
  <c r="F18" i="6" s="1"/>
  <c r="F353" i="4"/>
  <c r="F45" i="4"/>
  <c r="F10" i="6" s="1"/>
  <c r="E13" i="6"/>
  <c r="F294" i="4"/>
  <c r="F208" i="4"/>
  <c r="F414" i="4"/>
  <c r="F27" i="6" s="1"/>
  <c r="F20" i="4"/>
  <c r="E9" i="6" s="1"/>
  <c r="F326" i="4"/>
  <c r="F24" i="6" s="1"/>
  <c r="F357" i="4"/>
  <c r="F25" i="6" s="1"/>
  <c r="F40" i="4"/>
  <c r="E10" i="6" s="1"/>
  <c r="F65" i="4"/>
  <c r="F11" i="6" s="1"/>
  <c r="F140" i="4"/>
  <c r="F225" i="4"/>
  <c r="F243" i="4"/>
  <c r="F80" i="4"/>
  <c r="E12" i="6" s="1"/>
  <c r="F60" i="4"/>
  <c r="E11" i="6" s="1"/>
  <c r="F443" i="4"/>
  <c r="H113" i="3"/>
  <c r="I113" i="3" s="1"/>
  <c r="H177" i="3"/>
  <c r="I177" i="3" s="1"/>
  <c r="H115" i="3"/>
  <c r="I115" i="3" s="1"/>
  <c r="H186" i="3"/>
  <c r="I186" i="3" s="1"/>
  <c r="H112" i="3"/>
  <c r="I112" i="3" s="1"/>
  <c r="H94" i="3"/>
  <c r="I94" i="3" s="1"/>
  <c r="H173" i="3"/>
  <c r="I173" i="3" s="1"/>
  <c r="H174" i="3"/>
  <c r="I174" i="3" s="1"/>
  <c r="H175" i="3"/>
  <c r="I175" i="3" s="1"/>
  <c r="H26" i="3"/>
  <c r="I26" i="3" s="1"/>
  <c r="H187" i="3"/>
  <c r="I187" i="3" s="1"/>
  <c r="H95" i="3"/>
  <c r="I95" i="3" s="1"/>
  <c r="I149" i="3"/>
  <c r="D24" i="6" s="1"/>
  <c r="G111" i="3"/>
  <c r="H111" i="3" s="1"/>
  <c r="I111" i="3" s="1"/>
  <c r="H97" i="3"/>
  <c r="I97" i="3" s="1"/>
  <c r="H98" i="3"/>
  <c r="I98" i="3" s="1"/>
  <c r="I68" i="3"/>
  <c r="D18" i="6" s="1"/>
  <c r="I92" i="3"/>
  <c r="D20" i="6" s="1"/>
  <c r="I170" i="3"/>
  <c r="D26" i="6" s="1"/>
  <c r="I55" i="3"/>
  <c r="D17" i="6" s="1"/>
  <c r="I159" i="3"/>
  <c r="D25" i="6" s="1"/>
  <c r="H96" i="3"/>
  <c r="I96" i="3" s="1"/>
  <c r="H176" i="3"/>
  <c r="I176" i="3" s="1"/>
  <c r="E38" i="9"/>
  <c r="F38" i="9" s="1"/>
  <c r="E59" i="9"/>
  <c r="F59" i="9" s="1"/>
  <c r="E51" i="9"/>
  <c r="F51" i="9" s="1"/>
  <c r="E42" i="9"/>
  <c r="F42" i="9" s="1"/>
  <c r="E63" i="9"/>
  <c r="F63" i="9" s="1"/>
  <c r="E55" i="9"/>
  <c r="F55" i="9" s="1"/>
  <c r="E60" i="9"/>
  <c r="F60" i="9" s="1"/>
  <c r="E8" i="9"/>
  <c r="F8" i="9" s="1"/>
  <c r="E31" i="9"/>
  <c r="F31" i="9" s="1"/>
  <c r="E45" i="9"/>
  <c r="F45" i="9" s="1"/>
  <c r="E30" i="9"/>
  <c r="F30" i="9" s="1"/>
  <c r="E22" i="9"/>
  <c r="F22" i="9" s="1"/>
  <c r="E66" i="9"/>
  <c r="F66" i="9" s="1"/>
  <c r="E7" i="9"/>
  <c r="F7" i="9" s="1"/>
  <c r="E37" i="9"/>
  <c r="F37" i="9" s="1"/>
  <c r="E58" i="9"/>
  <c r="F58" i="9" s="1"/>
  <c r="E13" i="9"/>
  <c r="F13" i="9" s="1"/>
  <c r="E50" i="9"/>
  <c r="F50" i="9" s="1"/>
  <c r="E27" i="9"/>
  <c r="F27" i="9" s="1"/>
  <c r="E19" i="9"/>
  <c r="F19" i="9" s="1"/>
  <c r="E41" i="9"/>
  <c r="F41" i="9" s="1"/>
  <c r="E33" i="9"/>
  <c r="F33" i="9" s="1"/>
  <c r="E62" i="9"/>
  <c r="F62" i="9" s="1"/>
  <c r="E10" i="9"/>
  <c r="F10" i="9" s="1"/>
  <c r="E52" i="9"/>
  <c r="F52" i="9" s="1"/>
  <c r="E14" i="9"/>
  <c r="F14" i="9" s="1"/>
  <c r="E43" i="9"/>
  <c r="F43" i="9" s="1"/>
  <c r="E28" i="9"/>
  <c r="F28" i="9" s="1"/>
  <c r="E20" i="9"/>
  <c r="F20" i="9" s="1"/>
  <c r="E64" i="9"/>
  <c r="F64" i="9" s="1"/>
  <c r="E34" i="9"/>
  <c r="F34" i="9" s="1"/>
  <c r="E56" i="9"/>
  <c r="F56" i="9" s="1"/>
  <c r="E11" i="9"/>
  <c r="F11" i="9" s="1"/>
  <c r="E47" i="9"/>
  <c r="F47" i="9" s="1"/>
  <c r="E24" i="9"/>
  <c r="F24" i="9" s="1"/>
  <c r="E68" i="9"/>
  <c r="F68" i="9" s="1"/>
  <c r="E46" i="9"/>
  <c r="F46" i="9" s="1"/>
  <c r="F85" i="4"/>
  <c r="F12" i="6" s="1"/>
  <c r="F25" i="4"/>
  <c r="F9" i="6" s="1"/>
  <c r="F410" i="4"/>
  <c r="F425" i="4"/>
  <c r="F282" i="4"/>
  <c r="F381" i="4"/>
  <c r="F397" i="4"/>
  <c r="F322" i="4"/>
  <c r="F340" i="4"/>
  <c r="F190" i="4"/>
  <c r="F368" i="4"/>
  <c r="F311" i="4"/>
  <c r="E18" i="6" l="1"/>
  <c r="E17" i="6"/>
  <c r="E16" i="6"/>
  <c r="F26" i="9"/>
  <c r="C16" i="6" s="1"/>
  <c r="F9" i="9"/>
  <c r="C10" i="6" s="1"/>
  <c r="G10" i="6" s="1"/>
  <c r="H10" i="6" s="1"/>
  <c r="F18" i="9"/>
  <c r="C13" i="6" s="1"/>
  <c r="G13" i="6" s="1"/>
  <c r="H13" i="6" s="1"/>
  <c r="F16" i="6"/>
  <c r="I42" i="3"/>
  <c r="D16" i="6" s="1"/>
  <c r="I28" i="3"/>
  <c r="D14" i="6" s="1"/>
  <c r="E22" i="6"/>
  <c r="F17" i="6"/>
  <c r="E20" i="6"/>
  <c r="E25" i="6"/>
  <c r="E28" i="6"/>
  <c r="E24" i="6"/>
  <c r="E21" i="6"/>
  <c r="E26" i="6"/>
  <c r="G12" i="6"/>
  <c r="H12" i="6" s="1"/>
  <c r="I127" i="3"/>
  <c r="D22" i="6" s="1"/>
  <c r="I189" i="3"/>
  <c r="D28" i="6" s="1"/>
  <c r="I180" i="3"/>
  <c r="D27" i="6" s="1"/>
  <c r="I108" i="3"/>
  <c r="D21" i="6" s="1"/>
  <c r="F21" i="9"/>
  <c r="C14" i="6" s="1"/>
  <c r="F53" i="9"/>
  <c r="C25" i="6" s="1"/>
  <c r="F6" i="9"/>
  <c r="C9" i="6" s="1"/>
  <c r="F65" i="9"/>
  <c r="C28" i="6" s="1"/>
  <c r="F61" i="9"/>
  <c r="C27" i="6" s="1"/>
  <c r="F32" i="9"/>
  <c r="C18" i="6" s="1"/>
  <c r="G18" i="6" s="1"/>
  <c r="I18" i="6" s="1"/>
  <c r="F29" i="9"/>
  <c r="C17" i="6" s="1"/>
  <c r="F36" i="9"/>
  <c r="C20" i="6" s="1"/>
  <c r="F44" i="9"/>
  <c r="C22" i="6" s="1"/>
  <c r="F40" i="9"/>
  <c r="C21" i="6" s="1"/>
  <c r="G9" i="6"/>
  <c r="I9" i="6" s="1"/>
  <c r="F49" i="9"/>
  <c r="C24" i="6" s="1"/>
  <c r="F12" i="9"/>
  <c r="C11" i="6" s="1"/>
  <c r="G11" i="6" s="1"/>
  <c r="H11" i="6" s="1"/>
  <c r="F57" i="9"/>
  <c r="C26" i="6" s="1"/>
  <c r="E27" i="6"/>
  <c r="G20" i="6" l="1"/>
  <c r="H20" i="6" s="1"/>
  <c r="G24" i="6"/>
  <c r="I24" i="6" s="1"/>
  <c r="G25" i="6"/>
  <c r="I25" i="6" s="1"/>
  <c r="G16" i="6"/>
  <c r="I16" i="6" s="1"/>
  <c r="G14" i="6"/>
  <c r="I14" i="6" s="1"/>
  <c r="G17" i="6"/>
  <c r="I17" i="6" s="1"/>
  <c r="I13" i="6"/>
  <c r="I12" i="6"/>
  <c r="G26" i="6"/>
  <c r="H26" i="6" s="1"/>
  <c r="I10" i="6"/>
  <c r="G22" i="6"/>
  <c r="H22" i="6" s="1"/>
  <c r="G28" i="6"/>
  <c r="I28" i="6" s="1"/>
  <c r="G21" i="6"/>
  <c r="I21" i="6" s="1"/>
  <c r="G27" i="6"/>
  <c r="I27" i="6" s="1"/>
  <c r="H18" i="6"/>
  <c r="I11" i="6"/>
  <c r="H9" i="6"/>
  <c r="I20" i="6" l="1"/>
  <c r="H25" i="6"/>
  <c r="H24" i="6"/>
  <c r="H16" i="6"/>
  <c r="H14" i="6"/>
  <c r="H17" i="6"/>
  <c r="I26" i="6"/>
  <c r="H21" i="6"/>
  <c r="I22" i="6"/>
  <c r="H28" i="6"/>
  <c r="H27" i="6"/>
</calcChain>
</file>

<file path=xl/sharedStrings.xml><?xml version="1.0" encoding="utf-8"?>
<sst xmlns="http://schemas.openxmlformats.org/spreadsheetml/2006/main" count="1696" uniqueCount="537">
  <si>
    <t>Đơn giá dịch vụ công sử dụng ngân sách nhà nước thuộc lĩnh vực nông nghiệp và phát triển nông thôn</t>
  </si>
  <si>
    <t>STT</t>
  </si>
  <si>
    <t>Nội dung</t>
  </si>
  <si>
    <t>Tổng hợp chi phí</t>
  </si>
  <si>
    <t xml:space="preserve">Đơn giá tổng hợp </t>
  </si>
  <si>
    <t>Lao động</t>
  </si>
  <si>
    <t>Máy móc, thiết bị</t>
  </si>
  <si>
    <t>Vật tư, hóa chất</t>
  </si>
  <si>
    <t>Năng lượng, nhiên liệu</t>
  </si>
  <si>
    <t>Cộng</t>
  </si>
  <si>
    <t xml:space="preserve">Đơn giá không tính khấu hao TSCĐ </t>
  </si>
  <si>
    <t xml:space="preserve">Đơn giá có tính khấu hao TSCĐ </t>
  </si>
  <si>
    <t>8=3+4+5+6</t>
  </si>
  <si>
    <t>9=8-4</t>
  </si>
  <si>
    <t>10=8</t>
  </si>
  <si>
    <t>I. Hoạt động lĩnh vực trồng trọt</t>
  </si>
  <si>
    <t>Kiểm định giống cây ngắn ngày G1 (01 dòng)</t>
  </si>
  <si>
    <t>Kiểm định giống cây ngắn ngày G2  (01 dòng)</t>
  </si>
  <si>
    <t>Kiểm định giống lai ngắn ngày (01 ha)</t>
  </si>
  <si>
    <t>Kiểm định giống thuần cây ngắn ngày (01 ha)</t>
  </si>
  <si>
    <t>Lấy mẫu giống cây trồng</t>
  </si>
  <si>
    <t>Kiểm nghiệm giống cây trồng (01 mẫu)</t>
  </si>
  <si>
    <t>II. Hoạt động lĩnh vực quản lý chất lượng</t>
  </si>
  <si>
    <t>Chứng nhận quy trình sản xuất VietGAP trong trồng trọt, chăn nuôi, nuôi trồng thủy sản (định mức 01 ha đối với VietGAP trồng trọt, VietGAP nuôi trồng thủy sản; &lt; 500 gia súc, &lt;5000 gia cầm, &lt;200 bọng ong đối với VietGAP chăn nuôi)</t>
  </si>
  <si>
    <t>Chứng nhận chất lượng sản phẩm theo Quy chuẩn Việt Nam.</t>
  </si>
  <si>
    <t>Chứng nhận Hệ thống quản lý chất lượng sản phẩm (HACCP, GMP, ISO 9001:2015, ISO 22000:2018)</t>
  </si>
  <si>
    <t>Kiểm nghiệm chất lượng phân bón</t>
  </si>
  <si>
    <t>4.1</t>
  </si>
  <si>
    <r>
      <rPr>
        <i/>
        <sz val="14"/>
        <color indexed="8"/>
        <rFont val="Times New Roman"/>
        <family val="1"/>
      </rPr>
      <t xml:space="preserve">Nhóm chỉ tiêu chất lượng </t>
    </r>
    <r>
      <rPr>
        <i/>
        <sz val="14"/>
        <rFont val="Times New Roman"/>
        <family val="1"/>
      </rPr>
      <t>(N-P-K, hữu cơ, ẩm…)</t>
    </r>
  </si>
  <si>
    <r>
      <rPr>
        <i/>
        <sz val="14"/>
        <color indexed="8"/>
        <rFont val="Times New Roman"/>
        <family val="1"/>
      </rPr>
      <t xml:space="preserve">Nhóm chỉ tiêu kim loại nặng trong phân bón và thực phẩm </t>
    </r>
    <r>
      <rPr>
        <i/>
        <sz val="14"/>
        <rFont val="Times New Roman"/>
        <family val="1"/>
      </rPr>
      <t>(Pb, Cd,Hg, As)</t>
    </r>
  </si>
  <si>
    <r>
      <rPr>
        <i/>
        <sz val="14"/>
        <color indexed="8"/>
        <rFont val="Times New Roman"/>
        <family val="1"/>
      </rPr>
      <t>Nhóm chỉ tiêu vi sinh vật trong phân bón và thực phẩm (</t>
    </r>
    <r>
      <rPr>
        <i/>
        <sz val="14"/>
        <rFont val="Times New Roman"/>
        <family val="1"/>
      </rPr>
      <t>vi sinh vật cố định nito, vi sinh vật phân giải xenlulo, vi sinh vật phẩn giải photpho, Salmonela, E coli,…)</t>
    </r>
  </si>
  <si>
    <t>Kiểm nghiệm chất lượng An toàn thực phẩm</t>
  </si>
  <si>
    <t>Chỉ tiêu kháng sinh (Chloramphenicol, Tetracyline, Pennicilin,…)</t>
  </si>
  <si>
    <t>Chỉ tiêu thuốc Bảo vệ thực vật (Nhóm Cabamate, nhóm cúc, nhóm lân hữu cơ, nhóm chlo…)</t>
  </si>
  <si>
    <t>Chỉ tiêu chất cấm (Auramin O, Salbutamol, Clenbuterol, Ractopamine,…)</t>
  </si>
  <si>
    <t>Chỉ tiêu chất nhóm độc tố (mycotoxin, aflatoxin,…)</t>
  </si>
  <si>
    <t>Chỉ tiêu phụ gia thực phẩm (photphats,sunfit, sunfat,natriborat,…)</t>
  </si>
  <si>
    <t>Chức danh</t>
  </si>
  <si>
    <t>Mã số</t>
  </si>
  <si>
    <t>HSL</t>
  </si>
  <si>
    <t>Các khoản BHXH, BHYT, KTCĐ (23,5%)</t>
  </si>
  <si>
    <t>Lương cơ bản (đồng)</t>
  </si>
  <si>
    <t>Tiền lương/ngày (đồng)</t>
  </si>
  <si>
    <t>Ghi chú</t>
  </si>
  <si>
    <t>I</t>
  </si>
  <si>
    <t>Viên chức bậc 1</t>
  </si>
  <si>
    <t>VC1</t>
  </si>
  <si>
    <t>Viên chức bậc 2</t>
  </si>
  <si>
    <t>VC2</t>
  </si>
  <si>
    <t>Viên chức bậc 3</t>
  </si>
  <si>
    <t>VC3</t>
  </si>
  <si>
    <t>Viên chức bậc 4</t>
  </si>
  <si>
    <t>VC4</t>
  </si>
  <si>
    <t>Viên chức bậc 5</t>
  </si>
  <si>
    <t>VC5</t>
  </si>
  <si>
    <t>Viên chức bậc 6</t>
  </si>
  <si>
    <t>VC6</t>
  </si>
  <si>
    <t>Viên chức bậc 7</t>
  </si>
  <si>
    <t>VC7</t>
  </si>
  <si>
    <t>Viên chức bậc 8</t>
  </si>
  <si>
    <t>VC8</t>
  </si>
  <si>
    <t>Viên chức bậc 9</t>
  </si>
  <si>
    <t>VC9</t>
  </si>
  <si>
    <t>Viên chức  bậc 10</t>
  </si>
  <si>
    <t>VC10</t>
  </si>
  <si>
    <t>Nội dung công việc</t>
  </si>
  <si>
    <t>Quy mô của một đơn vị tính</t>
  </si>
  <si>
    <r>
      <rPr>
        <b/>
        <sz val="12"/>
        <rFont val="Times New Roman"/>
        <family val="1"/>
      </rPr>
      <t xml:space="preserve">Định mức công trực tiếp </t>
    </r>
    <r>
      <rPr>
        <i/>
        <sz val="12"/>
        <rFont val="Times New Roman"/>
        <family val="1"/>
      </rPr>
      <t>(công)</t>
    </r>
  </si>
  <si>
    <t>Lĩnh vực trồng trọt</t>
  </si>
  <si>
    <t xml:space="preserve">Kiểm định giống cây ngắn ngày G1 </t>
  </si>
  <si>
    <t>Công trực tiếp (VC2)</t>
  </si>
  <si>
    <t>01 dòng</t>
  </si>
  <si>
    <t>Công gián tiếp (VC4)</t>
  </si>
  <si>
    <t>Kiểm định giống cây ngắn ngày G2</t>
  </si>
  <si>
    <t xml:space="preserve">Kiểm định giống lai ngắn ngày  </t>
  </si>
  <si>
    <t>01 ha</t>
  </si>
  <si>
    <t xml:space="preserve">Kiểm định giống thuần cây ngắn ngày  </t>
  </si>
  <si>
    <t>Lấy mẫu giống cây trồng (VC2)</t>
  </si>
  <si>
    <t>01 mẫu</t>
  </si>
  <si>
    <t xml:space="preserve">Kiểm nghiệm giống cây trồng </t>
  </si>
  <si>
    <t>Lao động có chuyên môn (VC2)</t>
  </si>
  <si>
    <t>Lao động phổ thông (VC10)</t>
  </si>
  <si>
    <t>Lao động gián tiếp (VC4)</t>
  </si>
  <si>
    <t>II</t>
  </si>
  <si>
    <t>Hoạt động thuộc lĩnh vực quản lý chất lượng</t>
  </si>
  <si>
    <r>
      <rPr>
        <b/>
        <sz val="12"/>
        <rFont val="Times New Roman"/>
        <family val="1"/>
      </rPr>
      <t xml:space="preserve">Chứng nhận quy trình sản xuất VietGAP trong trồng trọt, chăn nuôi, nuôi trồng thuỷ sản </t>
    </r>
    <r>
      <rPr>
        <i/>
        <sz val="12"/>
        <rFont val="Times New Roman"/>
        <family val="1"/>
      </rPr>
      <t>(định mức 01 ha đối với VietGAP trồng trọt, VietGAP nuôi trồng thuỷ sản; &lt; 500 gia súc, &lt; 5000 gia cầm, &lt; 200 bọng ong đối với VietGAP chăn nuôi)</t>
    </r>
  </si>
  <si>
    <t>.</t>
  </si>
  <si>
    <t>01 sản phẩm</t>
  </si>
  <si>
    <r>
      <rPr>
        <b/>
        <sz val="12"/>
        <rFont val="Times New Roman"/>
        <family val="1"/>
      </rPr>
      <t xml:space="preserve">Chứng nhận Hệ thống Quản lý chất lượng sản phẩm </t>
    </r>
    <r>
      <rPr>
        <b/>
        <i/>
        <sz val="12"/>
        <rFont val="Times New Roman"/>
        <family val="1"/>
      </rPr>
      <t>(HACCP, GMP, ISO22000:2018)</t>
    </r>
  </si>
  <si>
    <t>01 hệ thống tại 01 địa điểm.</t>
  </si>
  <si>
    <r>
      <rPr>
        <sz val="12"/>
        <rFont val="Times New Roman"/>
        <family val="1"/>
      </rPr>
      <t xml:space="preserve">Nhóm chỉ tiêu chất lượng </t>
    </r>
    <r>
      <rPr>
        <i/>
        <sz val="12"/>
        <rFont val="Times New Roman"/>
        <family val="1"/>
      </rPr>
      <t>(N-P-K, hữu cơ, ẩm…)</t>
    </r>
  </si>
  <si>
    <t>+</t>
  </si>
  <si>
    <t>Chỉ tiêu</t>
  </si>
  <si>
    <r>
      <rPr>
        <sz val="12"/>
        <rFont val="Times New Roman"/>
        <family val="1"/>
      </rPr>
      <t xml:space="preserve">Nhóm chỉ tiêu kim loại nặng trong phân bón và thực phẩm </t>
    </r>
    <r>
      <rPr>
        <i/>
        <sz val="12"/>
        <rFont val="Times New Roman"/>
        <family val="1"/>
      </rPr>
      <t>(Pb, Cđ,Hg, As)</t>
    </r>
  </si>
  <si>
    <r>
      <rPr>
        <sz val="12"/>
        <rFont val="Times New Roman"/>
        <family val="1"/>
      </rPr>
      <t>Nhóm chỉ tiêu vi sinh vật trong phân bón và thực phẩm (</t>
    </r>
    <r>
      <rPr>
        <i/>
        <sz val="12"/>
        <rFont val="Times New Roman"/>
        <family val="1"/>
      </rPr>
      <t>vi sinh vật cố định nito, vi sinh vật phân giải xenlulo, vi sinh vật phẩn giải photpho, Salmonela, E coli,…)</t>
    </r>
  </si>
  <si>
    <t>Kiểm nghiệm chất lượng ATTP</t>
  </si>
  <si>
    <r>
      <rPr>
        <sz val="12"/>
        <rFont val="Times New Roman"/>
        <family val="1"/>
      </rPr>
      <t xml:space="preserve">Chỉ tiêu kháng sinh </t>
    </r>
    <r>
      <rPr>
        <i/>
        <sz val="12"/>
        <rFont val="Times New Roman"/>
        <family val="1"/>
      </rPr>
      <t>(Chloramphenicol, Tetracyline, Pennicilin,…)</t>
    </r>
  </si>
  <si>
    <r>
      <rPr>
        <sz val="12"/>
        <rFont val="Times New Roman"/>
        <family val="1"/>
      </rPr>
      <t>Chỉ tiêu thuốc Bảo vệ thực vật</t>
    </r>
    <r>
      <rPr>
        <i/>
        <sz val="12"/>
        <rFont val="Times New Roman"/>
        <family val="1"/>
      </rPr>
      <t xml:space="preserve"> (Nhóm Cabamate, nhóm cúc, nhóm lân hữu cơ, nhóm chlo…)</t>
    </r>
  </si>
  <si>
    <r>
      <rPr>
        <sz val="12"/>
        <rFont val="Times New Roman"/>
        <family val="1"/>
      </rPr>
      <t xml:space="preserve">Chỉ tiêu chất cấm </t>
    </r>
    <r>
      <rPr>
        <i/>
        <sz val="12"/>
        <rFont val="Times New Roman"/>
        <family val="1"/>
      </rPr>
      <t>(Auramin O, Salbutamol, Clenbuterol, Ractopamine,…)</t>
    </r>
  </si>
  <si>
    <r>
      <rPr>
        <sz val="12"/>
        <rFont val="Times New Roman"/>
        <family val="1"/>
      </rPr>
      <t xml:space="preserve">Chỉ tiêu chất nhóm độc tố </t>
    </r>
    <r>
      <rPr>
        <i/>
        <sz val="12"/>
        <rFont val="Times New Roman"/>
        <family val="1"/>
      </rPr>
      <t>(mycotoxin, aflatoxin,…)</t>
    </r>
  </si>
  <si>
    <r>
      <rPr>
        <sz val="12"/>
        <rFont val="Times New Roman"/>
        <family val="1"/>
      </rPr>
      <t xml:space="preserve">Chỉ tiêu phụ gia thực phẩm </t>
    </r>
    <r>
      <rPr>
        <i/>
        <sz val="12"/>
        <rFont val="Times New Roman"/>
        <family val="1"/>
      </rPr>
      <t>(photphats,sunfit, sunfat,natriborat,…)</t>
    </r>
  </si>
  <si>
    <t>I. Hoạt động thuộc lĩnh vực trồng trọt</t>
  </si>
  <si>
    <t>1. Lấy mẫu giống cây trồng (định mức cho 1 mẫu)</t>
  </si>
  <si>
    <t>TT</t>
  </si>
  <si>
    <t>Danh mục thiết bị</t>
  </si>
  <si>
    <t>ĐVT</t>
  </si>
  <si>
    <t>Định mức (giờ)</t>
  </si>
  <si>
    <t>Số năm khấu hao</t>
  </si>
  <si>
    <t xml:space="preserve"> Đơn giá thiết bị phân bổ (đồng/đvt) </t>
  </si>
  <si>
    <t xml:space="preserve"> Đơn giá thiết bị/giờ (đồng/đvt) </t>
  </si>
  <si>
    <t xml:space="preserve"> Thành tiền (đồng) </t>
  </si>
  <si>
    <t>Cân đĩa loại 5kg</t>
  </si>
  <si>
    <t>giờ</t>
  </si>
  <si>
    <t>Dụng cụ chia mẫu</t>
  </si>
  <si>
    <t>Xiên lấy mẫu</t>
  </si>
  <si>
    <t>2 Kiểm nghiệm mẫu giống cây trồng (định mức cho 1 mẫu)</t>
  </si>
  <si>
    <t>Cân kỹ thuật</t>
  </si>
  <si>
    <t>Cân phân tích</t>
  </si>
  <si>
    <t>Tủ sấy</t>
  </si>
  <si>
    <t>Đơn giá tính trên 01 mẫu, mỗi lần sử dụng cho 10 mẫu.</t>
  </si>
  <si>
    <t>Tủ lạnh bảo quản mẫu</t>
  </si>
  <si>
    <t>Đơn giá tính trên 01 mẫu, mỗi lần sử dụng cho 100 mẫu.</t>
  </si>
  <si>
    <t>Tủ đặt nảy mầm</t>
  </si>
  <si>
    <t>Kính hiển vi sinh học</t>
  </si>
  <si>
    <t>Bàn soi hạt</t>
  </si>
  <si>
    <t>Phanh gắp hạt</t>
  </si>
  <si>
    <t>Kính lúp</t>
  </si>
  <si>
    <t>Dụng cụ gạt mẫu</t>
  </si>
  <si>
    <t>II.  HOẠT ĐỘNG THUỘC LĨNH VỰC QUẢN LÝ CHẤT LƯỢNG</t>
  </si>
  <si>
    <t xml:space="preserve">Danh mục máy móc, thiết bị </t>
  </si>
  <si>
    <t>Đơn vị tính</t>
  </si>
  <si>
    <t>Định mức thiết bị (giờ)</t>
  </si>
  <si>
    <t>Số năm khấu hao (năm)</t>
  </si>
  <si>
    <t>Đơn giá thiết bị (đồng)</t>
  </si>
  <si>
    <t>Thành tiền (đồng)</t>
  </si>
  <si>
    <t>Cái</t>
  </si>
  <si>
    <t>Máy in laser màu</t>
  </si>
  <si>
    <t>Máy photo copy</t>
  </si>
  <si>
    <t>Máy in đen trắng</t>
  </si>
  <si>
    <t>Bàn làm việc</t>
  </si>
  <si>
    <t>Ghế</t>
  </si>
  <si>
    <t>Quạt trần</t>
  </si>
  <si>
    <t>Đèn led sáng</t>
  </si>
  <si>
    <t>Bộ</t>
  </si>
  <si>
    <t>Điều hoà</t>
  </si>
  <si>
    <t>2.  Chứng nhận chất lượng sản phẩm theo Quy chuẩn Việt Nam.</t>
  </si>
  <si>
    <t>4. Kiểm nghiệm chất lượng phân bón</t>
  </si>
  <si>
    <t xml:space="preserve">Định mức thiết bị (Giờ) </t>
  </si>
  <si>
    <t xml:space="preserve">Đối với nhóm chỉ tiêu chất lượng (N-P-K, hữu cơ, ẩm,….) </t>
  </si>
  <si>
    <t>Máy nghiền mẫu</t>
  </si>
  <si>
    <t>Máy lắc</t>
  </si>
  <si>
    <t>Máy công phá mẫu</t>
  </si>
  <si>
    <t>Máy cất đạm</t>
  </si>
  <si>
    <t>theo Hợp đồng số 74/HĐKT, ngày 08/7/2019</t>
  </si>
  <si>
    <t>Máy trắc quang</t>
  </si>
  <si>
    <t>Máy cất nước</t>
  </si>
  <si>
    <t>Máy quang kế ngọn lửa</t>
  </si>
  <si>
    <t>Bếp điện</t>
  </si>
  <si>
    <t>Máy vi tính</t>
  </si>
  <si>
    <t>Máy hút ẩm</t>
  </si>
  <si>
    <t>Đối với nhóm các chỉ tiêu kim loại nặng trong phân bón và thực phẩm (Pb, Cd, Hg, As)</t>
  </si>
  <si>
    <t>Máy phá mẫu</t>
  </si>
  <si>
    <t>Hệ thống AAS</t>
  </si>
  <si>
    <t>Điều hòa nhiệt độ</t>
  </si>
  <si>
    <t>III</t>
  </si>
  <si>
    <t> 1</t>
  </si>
  <si>
    <t>Tủ ATSH</t>
  </si>
  <si>
    <t> 2</t>
  </si>
  <si>
    <t> 3</t>
  </si>
  <si>
    <t> 4</t>
  </si>
  <si>
    <t> 5</t>
  </si>
  <si>
    <t>Tủ ấm</t>
  </si>
  <si>
    <t> 6</t>
  </si>
  <si>
    <t> 7</t>
  </si>
  <si>
    <t>Nồi hấp sạch</t>
  </si>
  <si>
    <t> 8</t>
  </si>
  <si>
    <t>Nồi hấp bẩn</t>
  </si>
  <si>
    <t> 9</t>
  </si>
  <si>
    <t>Lò vi sóng</t>
  </si>
  <si>
    <t> 10</t>
  </si>
  <si>
    <t> 11</t>
  </si>
  <si>
    <t> 12</t>
  </si>
  <si>
    <t> 13</t>
  </si>
  <si>
    <t> 14</t>
  </si>
  <si>
    <t> 15</t>
  </si>
  <si>
    <t> 16</t>
  </si>
  <si>
    <t> 17</t>
  </si>
  <si>
    <t>5. Kiểm nghiệm chất lượng an toàn thực phẩm</t>
  </si>
  <si>
    <t>Định mức</t>
  </si>
  <si>
    <t>Hệ thống LC/MS/MS; HPLC</t>
  </si>
  <si>
    <t>Máy cô quay chân không</t>
  </si>
  <si>
    <t>Máy lắc siêu âm</t>
  </si>
  <si>
    <t>Máy lọc nước siêu sạch</t>
  </si>
  <si>
    <t>Máy li tâm</t>
  </si>
  <si>
    <t>Hệ thống GC/MS/MS</t>
  </si>
  <si>
    <t>Hệ thống thổi khô mẫu</t>
  </si>
  <si>
    <t>IV</t>
  </si>
  <si>
    <t>Hệ thống LC/MS/MS</t>
  </si>
  <si>
    <t>Máy votex</t>
  </si>
  <si>
    <t> V</t>
  </si>
  <si>
    <t>Bể điều nhiệt + lắc</t>
  </si>
  <si>
    <t>Máy quang phổ UV-VIS</t>
  </si>
  <si>
    <t>I.   HOẠT ĐỘNG LĨNH VỰC TRỒNG TRỌT</t>
  </si>
  <si>
    <t>1.  Kiểm định giống cây ngắn ngày G1</t>
  </si>
  <si>
    <t>Stt</t>
  </si>
  <si>
    <t>Tên vật tư</t>
  </si>
  <si>
    <t>Đvt</t>
  </si>
  <si>
    <t>Định mức tiêu hao (sử dụng)</t>
  </si>
  <si>
    <t>(1)</t>
  </si>
  <si>
    <t>(2)</t>
  </si>
  <si>
    <t>(3)</t>
  </si>
  <si>
    <t>(4)</t>
  </si>
  <si>
    <t>(5)</t>
  </si>
  <si>
    <t>(6)</t>
  </si>
  <si>
    <t>Dụng cụ. vật tư</t>
  </si>
  <si>
    <t>Ủng cao su</t>
  </si>
  <si>
    <t>Đôi</t>
  </si>
  <si>
    <t>Găng tay</t>
  </si>
  <si>
    <t>Mũ rộng vành</t>
  </si>
  <si>
    <t>Áo che mưa</t>
  </si>
  <si>
    <t>Khẩu trang</t>
  </si>
  <si>
    <t>Hộp</t>
  </si>
  <si>
    <t>Ô che</t>
  </si>
  <si>
    <t>Áo chống nắng</t>
  </si>
  <si>
    <t>Sổ công tác</t>
  </si>
  <si>
    <t>Bút ghi</t>
  </si>
  <si>
    <t>Túi đựng tài liệu</t>
  </si>
  <si>
    <t>Nguyên liệu năng lượng</t>
  </si>
  <si>
    <t xml:space="preserve">Xăng xe </t>
  </si>
  <si>
    <t>Lít</t>
  </si>
  <si>
    <t>Điện</t>
  </si>
  <si>
    <t>KW</t>
  </si>
  <si>
    <t>Nước</t>
  </si>
  <si>
    <t>2. Kiểm định giống cây ngắn ngày G2</t>
  </si>
  <si>
    <t>3. Kiểm định giống lai cây ngắn ngày</t>
  </si>
  <si>
    <t>4. Kiểm định giống thuần cây ngắn ngày</t>
  </si>
  <si>
    <t>5. Lấy mẫu giống cây trồng</t>
  </si>
  <si>
    <t>Túi bóng đựng mẫu</t>
  </si>
  <si>
    <t>Áo blu</t>
  </si>
  <si>
    <t>Băng dính</t>
  </si>
  <si>
    <t>Cuộn</t>
  </si>
  <si>
    <t>Kéo cắt</t>
  </si>
  <si>
    <t>Vòng chun</t>
  </si>
  <si>
    <t>Kg</t>
  </si>
  <si>
    <t>Bút lông dầu</t>
  </si>
  <si>
    <t>6. Kiểm nghiệm mẫu giống cây trồng</t>
  </si>
  <si>
    <t>Đĩa pettri</t>
  </si>
  <si>
    <t>Giấy đặt nảy mầm</t>
  </si>
  <si>
    <t>Tờ</t>
  </si>
  <si>
    <t>Cốc nhôm có nắp</t>
  </si>
  <si>
    <t>cái</t>
  </si>
  <si>
    <t xml:space="preserve">    II. HOẠT ĐỘNG THUỘC LĨNH VỰC QUẢN LÝ CHẤT LƯỢNG</t>
  </si>
  <si>
    <t xml:space="preserve">    1.1. Chứng nhận quy trình sản xuất VietGAP trong trồng trọt. chăn nuôi. nuôi trồng thuỷ sản; Chứng nhận chất lượng sản phẩn theo quy chuẩn Việt Nam; Chứng nhận hệ thống quản lý chất lượng sản phẩm (HACCP, GMP, ISO 22000:2018)</t>
  </si>
  <si>
    <t>Danh mục vật tư</t>
  </si>
  <si>
    <t xml:space="preserve">Đơn giá (đ) </t>
  </si>
  <si>
    <t>Thành tiền (đ)</t>
  </si>
  <si>
    <t>Giấy A4</t>
  </si>
  <si>
    <t>Gam</t>
  </si>
  <si>
    <t>Mực in</t>
  </si>
  <si>
    <t>Bút viết</t>
  </si>
  <si>
    <t>Túi đựng mẫu</t>
  </si>
  <si>
    <t>Túi lưu mẫu</t>
  </si>
  <si>
    <t>Mực máy photo</t>
  </si>
  <si>
    <t xml:space="preserve">Tổng </t>
  </si>
  <si>
    <t>Danh mục nhiên liệu</t>
  </si>
  <si>
    <t xml:space="preserve">Định mức (Đơn vị tối thiểu cho 01 cuộc đánh giá) </t>
  </si>
  <si>
    <t>Thành tiền</t>
  </si>
  <si>
    <t>Kwh</t>
  </si>
  <si>
    <t>lít</t>
  </si>
  <si>
    <t>Tổng</t>
  </si>
  <si>
    <t>1.2. Đơn giá phân tích mẫu của các lĩnh vực Chứng nhận</t>
  </si>
  <si>
    <t>Lĩnh vực</t>
  </si>
  <si>
    <t xml:space="preserve">Chứng nhận quy trình sản xuất VietGAP trong trồng trọt, chăn nuôi, nuôi trồng thủy sản </t>
  </si>
  <si>
    <t>Cuộc</t>
  </si>
  <si>
    <t>Định mức 01 ha đối với VietGAP trồng trọt, VietGAP nuôi trồng thủy sản; &lt; 500 gia súc, &lt;5000 gia cầm, &lt;200 bọng ong đối với VietGAP chăn nuôi</t>
  </si>
  <si>
    <t>01 hệ thống/
01 địa điểm</t>
  </si>
  <si>
    <t>1.3. Đơn giá chi phí đi lại.</t>
  </si>
  <si>
    <t>NỘI DUNG</t>
  </si>
  <si>
    <t xml:space="preserve">Định mức (km) </t>
  </si>
  <si>
    <t>Đơn giá khoán (đ)</t>
  </si>
  <si>
    <t>Đơn giá chi phí đi lại ( Thực hiện theo Quyết định số 2456/QĐ-UBND ngày 02 tháng 7 năm 2020 của UBND tỉnh Thanh Hóa về việc quy định khoán kinh phí sử dụng xe ô tô phục vụ công tác chung khi đi công tác tại các cơ quan, tổ chức, đơn vị thuộc phạm vi quản lý của tỉnh Thanh Hóa)</t>
  </si>
  <si>
    <t>km</t>
  </si>
  <si>
    <t>Không có trong định mức, QĐ 2456/QĐ-UBND là khoán xe ô tô phục vụ các chức danh</t>
  </si>
  <si>
    <t>2. Kiểm nghiệm chất lượng phân bón</t>
  </si>
  <si>
    <t xml:space="preserve">2.1. Nhóm chỉ tiêu chất lượng </t>
  </si>
  <si>
    <t>Hóa chất</t>
  </si>
  <si>
    <t>Molybdate</t>
  </si>
  <si>
    <t>g</t>
  </si>
  <si>
    <t>Acid sunfuric</t>
  </si>
  <si>
    <t>ml</t>
  </si>
  <si>
    <t>Acid Nitric</t>
  </si>
  <si>
    <t>Vanadol</t>
  </si>
  <si>
    <t>Kali pemanganat</t>
  </si>
  <si>
    <t>Muối Mohr</t>
  </si>
  <si>
    <t>Kali dicromat</t>
  </si>
  <si>
    <t>Acid Citric</t>
  </si>
  <si>
    <t>Glucoza</t>
  </si>
  <si>
    <t>Acid photphoric</t>
  </si>
  <si>
    <t>Kali dihydrophotphat</t>
  </si>
  <si>
    <t>Công gô đỏ</t>
  </si>
  <si>
    <t>Axit pecloric</t>
  </si>
  <si>
    <t>Axit Chlohydric</t>
  </si>
  <si>
    <t>Magie clorua</t>
  </si>
  <si>
    <t>Amonihydroxit</t>
  </si>
  <si>
    <t>Amoniclorua</t>
  </si>
  <si>
    <t>Metyl đỏ</t>
  </si>
  <si>
    <t>Phenolphtalein</t>
  </si>
  <si>
    <t>Acid sunfuric chuẩn 0.1N</t>
  </si>
  <si>
    <t>Natri hydroxit 99%</t>
  </si>
  <si>
    <t>Axit boric</t>
  </si>
  <si>
    <t>Bromocresol xanh lục</t>
  </si>
  <si>
    <t>Hỗn hợp Deveda</t>
  </si>
  <si>
    <t>NaOH</t>
  </si>
  <si>
    <t>kg</t>
  </si>
  <si>
    <t>Dung dịch chuẩn kali</t>
  </si>
  <si>
    <t>CsCl</t>
  </si>
  <si>
    <t>Bình định mức 2l</t>
  </si>
  <si>
    <t>Bình định mức 1l</t>
  </si>
  <si>
    <t>Bình định mức 100ml</t>
  </si>
  <si>
    <t>Bình định mức 250ml</t>
  </si>
  <si>
    <t>Bình định mức  50ml</t>
  </si>
  <si>
    <t>Bình tam giác 250ml</t>
  </si>
  <si>
    <t>Phễu lọc phi 6</t>
  </si>
  <si>
    <t>Đũa thủy tinh</t>
  </si>
  <si>
    <t>Pipet 1 ml</t>
  </si>
  <si>
    <t>Pipet  2.5 ml</t>
  </si>
  <si>
    <t>Pipet 10ml</t>
  </si>
  <si>
    <t>Pipet 50 ml</t>
  </si>
  <si>
    <t>Quả bóp</t>
  </si>
  <si>
    <t>Bình tia</t>
  </si>
  <si>
    <t>Ống công phá mẫu</t>
  </si>
  <si>
    <t>Cuvet</t>
  </si>
  <si>
    <t>2.2. Nhóm chỉ tiêu kim loại nặng trong phân bón và thực phẩm</t>
  </si>
  <si>
    <t>HCl 37%</t>
  </si>
  <si>
    <t>mg</t>
  </si>
  <si>
    <t>Dung dịch chuẩn Pb. Cd. Hg. As 1000ppm</t>
  </si>
  <si>
    <t>Khí Argon</t>
  </si>
  <si>
    <t>bình</t>
  </si>
  <si>
    <t>Khí Axetylen</t>
  </si>
  <si>
    <t>Bình định mức 2lit</t>
  </si>
  <si>
    <t>Bình định mức  1lit</t>
  </si>
  <si>
    <t>Bình định mức 50ml</t>
  </si>
  <si>
    <t>Bình định mức 200ml</t>
  </si>
  <si>
    <t>Ống phá mẫu</t>
  </si>
  <si>
    <t>Giấy lọc</t>
  </si>
  <si>
    <t>tờ</t>
  </si>
  <si>
    <t>2.3. Nhóm chỉ tiêu vi sinh vật trong phân bón và thực phẩm</t>
  </si>
  <si>
    <t>Manitol</t>
  </si>
  <si>
    <t>NaCl</t>
  </si>
  <si>
    <t>Thạch bột</t>
  </si>
  <si>
    <t>Sacaroza</t>
  </si>
  <si>
    <t>Cao nấm men</t>
  </si>
  <si>
    <t>Axit malic</t>
  </si>
  <si>
    <t>KOH</t>
  </si>
  <si>
    <t>axit ascobic</t>
  </si>
  <si>
    <t>E.D.T.A. (Trilon B)</t>
  </si>
  <si>
    <t>L-Asparagine</t>
  </si>
  <si>
    <t>KCl</t>
  </si>
  <si>
    <t>Pepton</t>
  </si>
  <si>
    <t>Cồn</t>
  </si>
  <si>
    <t>Chủng chuẩn các loại</t>
  </si>
  <si>
    <t>bộ</t>
  </si>
  <si>
    <t>ống nghiệm 16x16 mm</t>
  </si>
  <si>
    <t>Giá đựng ống nghiệm</t>
  </si>
  <si>
    <t>Túi dập mẫu</t>
  </si>
  <si>
    <t>Đèn cồn</t>
  </si>
  <si>
    <t>Đĩa petri</t>
  </si>
  <si>
    <t>Bình trung tính</t>
  </si>
  <si>
    <t>Ống đong 1lit</t>
  </si>
  <si>
    <t>Que cấy trang</t>
  </si>
  <si>
    <t>Bình xịt cồn</t>
  </si>
  <si>
    <t>3. Kiểm nghiệm chất lượng an toàn thực phẩm</t>
  </si>
  <si>
    <t>3.1.  Nhóm chỉ tiêu kháng sinh</t>
  </si>
  <si>
    <t>Chất chuẩn</t>
  </si>
  <si>
    <t>µl</t>
  </si>
  <si>
    <t>ACN</t>
  </si>
  <si>
    <t>Acid focmic</t>
  </si>
  <si>
    <t>Isopropanol</t>
  </si>
  <si>
    <t>Magie sunfat khan</t>
  </si>
  <si>
    <t>Bột làm sạch PSA</t>
  </si>
  <si>
    <t>Natri acetat</t>
  </si>
  <si>
    <t>Đầu côn</t>
  </si>
  <si>
    <t>Bình định mức 5. 10. 50. 100. 1000 ml</t>
  </si>
  <si>
    <t>Ống ly tâm 50 ml</t>
  </si>
  <si>
    <t>Cốc thủy tinh có mỏ 50 ml</t>
  </si>
  <si>
    <t>Đũa thuỷ tinh</t>
  </si>
  <si>
    <t>Pipet Pasteur</t>
  </si>
  <si>
    <t>Màng lọc 0.2 mm</t>
  </si>
  <si>
    <t>Kim tiêm loại 1ml</t>
  </si>
  <si>
    <t>3.2. Nhóm chỉ tiêu thuốc BVTV</t>
  </si>
  <si>
    <t>Các chất chuẩn HCBVTV dd Mix 1000ppm</t>
  </si>
  <si>
    <t>Acetonitril</t>
  </si>
  <si>
    <t>Acid acetic</t>
  </si>
  <si>
    <t>Acid formic</t>
  </si>
  <si>
    <t>Methanol</t>
  </si>
  <si>
    <t>Magie sulfat  khan</t>
  </si>
  <si>
    <t>Natri acetat khan</t>
  </si>
  <si>
    <t>Bột làm sạch C18</t>
  </si>
  <si>
    <t>Amin bậc 1 bậc 2 (PSA)</t>
  </si>
  <si>
    <t>Vial loại có nắp kín 1.8 ml</t>
  </si>
  <si>
    <t>Đầu côn: 100 - 1000 µL. 10 -100 µl</t>
  </si>
  <si>
    <t>Bình định mức các loại</t>
  </si>
  <si>
    <t>Dispenser loại 5 - 25 ml</t>
  </si>
  <si>
    <t>Ống ly tâm 15 ml và 50 ml</t>
  </si>
  <si>
    <t>Ống ly tâm 2 ml</t>
  </si>
  <si>
    <t>Pipet pasteur</t>
  </si>
  <si>
    <t>Ống đong các loại</t>
  </si>
  <si>
    <t>Cốc thủy tinh có mỏ các loại</t>
  </si>
  <si>
    <t>Cột sắc ký DB5</t>
  </si>
  <si>
    <t>Kim tiêm 1ml</t>
  </si>
  <si>
    <t>3.3. Nhóm chỉ tiêu chất cấm</t>
  </si>
  <si>
    <t>Focmic acid</t>
  </si>
  <si>
    <t>Chất chuẩn (Co)</t>
  </si>
  <si>
    <t>Nội chuẩn</t>
  </si>
  <si>
    <t>Vial 1.8 ml có nắp kín</t>
  </si>
  <si>
    <t>Cột chiết SPE SCX 500 mg. 3 ml (Phenomenex hoặc tương đương)</t>
  </si>
  <si>
    <t>Ống nghiệm thủy tinh đựng dịch rửa giải</t>
  </si>
  <si>
    <t>Đầu côn 10-100. 20-200. 100-1000 và loại 500 - 5000 µl</t>
  </si>
  <si>
    <t>Bình định mức các loại: 5 ml. 10 ml. 50 ml và 100 ml</t>
  </si>
  <si>
    <t>Ống ly tâm nhựa 50 ml có nắp kín</t>
  </si>
  <si>
    <t>Cột sắc ký pha đảo  C18 (100 mm x 2.1 mm; 1.7 mm) và tiền cột hoặc tương đương</t>
  </si>
  <si>
    <t>Màng lọc 0.2 mm (của whatman hoặc tương đương)</t>
  </si>
  <si>
    <t>Giấy lọc hộp</t>
  </si>
  <si>
    <t>3.4. Chỉ tiêu nhóm độc tố</t>
  </si>
  <si>
    <t xml:space="preserve">Chất chuẩn  </t>
  </si>
  <si>
    <t>Acetonitrile</t>
  </si>
  <si>
    <t>Acid hydrochloric</t>
  </si>
  <si>
    <t>Acid citric monohydrat</t>
  </si>
  <si>
    <t>Đầu côn 10-100. 20-200. 100-1000 và 500 - 5000 µl</t>
  </si>
  <si>
    <t>Cột sắc ký C18 cỡ hạt 3.5</t>
  </si>
  <si>
    <t>Cột chiết SPE C18 500 mg. 3 ml (Phenomenex hoặc tương đương)</t>
  </si>
  <si>
    <t>3.5.  Nhóm chỉ tiêu phụ gia thực phẩm</t>
  </si>
  <si>
    <t>Axit acetic</t>
  </si>
  <si>
    <t>Axit sulfanilic</t>
  </si>
  <si>
    <t>1-naphthylamine HCl</t>
  </si>
  <si>
    <t>Kali hexaxyanoferat</t>
  </si>
  <si>
    <t>Kẽm axetat</t>
  </si>
  <si>
    <t>Chất chuẩn (1000g/l)</t>
  </si>
  <si>
    <t>Dụng cụ chứa mẫu</t>
  </si>
  <si>
    <t>Giấy lọc không tro</t>
  </si>
  <si>
    <t>Bình tam giác 50 ml</t>
  </si>
  <si>
    <t>Bình tam giác 100 ml</t>
  </si>
  <si>
    <t>Bình tam giác 250 ml</t>
  </si>
  <si>
    <t>Pipet 2ml</t>
  </si>
  <si>
    <t>Pipet 5 ml</t>
  </si>
  <si>
    <t>Pipet 10 ml</t>
  </si>
  <si>
    <t>Pipet  50 ml</t>
  </si>
  <si>
    <t>Ống đong 10. 25. 50. 100 ml</t>
  </si>
  <si>
    <t>Phễu lọc</t>
  </si>
  <si>
    <t>Cốc có mỏ 50 ml</t>
  </si>
  <si>
    <t>Bình định mức 100 ml</t>
  </si>
  <si>
    <t>Bình định mức 1lit</t>
  </si>
  <si>
    <r>
      <t xml:space="preserve">Đơn giá </t>
    </r>
    <r>
      <rPr>
        <i/>
        <sz val="13"/>
        <color theme="1"/>
        <rFont val="Times New Roman"/>
        <family val="1"/>
      </rPr>
      <t>(đồng/đvt)</t>
    </r>
  </si>
  <si>
    <r>
      <t xml:space="preserve">Thành tiền </t>
    </r>
    <r>
      <rPr>
        <i/>
        <sz val="13"/>
        <color theme="1"/>
        <rFont val="Times New Roman"/>
        <family val="1"/>
      </rPr>
      <t>(đồng)</t>
    </r>
  </si>
  <si>
    <r>
      <t xml:space="preserve">Xăng xe </t>
    </r>
    <r>
      <rPr>
        <i/>
        <sz val="13"/>
        <color theme="1"/>
        <rFont val="Times New Roman"/>
        <family val="1"/>
      </rPr>
      <t>(Tb 80km/lượt đi về x 3 lượt = 240)</t>
    </r>
  </si>
  <si>
    <r>
      <t xml:space="preserve">Định mức </t>
    </r>
    <r>
      <rPr>
        <sz val="13"/>
        <color theme="1"/>
        <rFont val="Times New Roman"/>
        <family val="1"/>
      </rPr>
      <t>(Đơn vị tối thiểu cho 01 cuộc đánh giá)</t>
    </r>
    <r>
      <rPr>
        <b/>
        <sz val="13"/>
        <color theme="1"/>
        <rFont val="Times New Roman"/>
        <family val="1"/>
      </rPr>
      <t xml:space="preserve"> </t>
    </r>
  </si>
  <si>
    <r>
      <t>CuSO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.2H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</si>
  <si>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K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SO</t>
    </r>
    <r>
      <rPr>
        <vertAlign val="subscript"/>
        <sz val="13"/>
        <color theme="1"/>
        <rFont val="Times New Roman"/>
        <family val="1"/>
      </rPr>
      <t>4</t>
    </r>
  </si>
  <si>
    <r>
      <t>HClO</t>
    </r>
    <r>
      <rPr>
        <vertAlign val="subscript"/>
        <sz val="13"/>
        <color theme="1"/>
        <rFont val="Times New Roman"/>
        <family val="1"/>
      </rPr>
      <t>4</t>
    </r>
  </si>
  <si>
    <r>
      <t>HNO</t>
    </r>
    <r>
      <rPr>
        <vertAlign val="sub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 xml:space="preserve"> 65%</t>
    </r>
  </si>
  <si>
    <r>
      <t>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 xml:space="preserve"> 30%</t>
    </r>
  </si>
  <si>
    <r>
      <t>NH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PO</t>
    </r>
    <r>
      <rPr>
        <vertAlign val="subscript"/>
        <sz val="13"/>
        <color theme="1"/>
        <rFont val="Times New Roman"/>
        <family val="1"/>
      </rPr>
      <t>4</t>
    </r>
  </si>
  <si>
    <r>
      <t>K­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HPO</t>
    </r>
    <r>
      <rPr>
        <vertAlign val="subscript"/>
        <sz val="13"/>
        <color theme="1"/>
        <rFont val="Times New Roman"/>
        <family val="1"/>
      </rPr>
      <t>4</t>
    </r>
  </si>
  <si>
    <r>
      <t>MgSO­</t>
    </r>
    <r>
      <rPr>
        <vertAlign val="subscript"/>
        <sz val="13"/>
        <color theme="1"/>
        <rFont val="Times New Roman"/>
        <family val="1"/>
      </rPr>
      <t>4.</t>
    </r>
    <r>
      <rPr>
        <sz val="13"/>
        <color theme="1"/>
        <rFont val="Times New Roman"/>
        <family val="1"/>
      </rPr>
      <t>­7H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</si>
  <si>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CaCO</t>
    </r>
    <r>
      <rPr>
        <vertAlign val="subscript"/>
        <sz val="13"/>
        <color theme="1"/>
        <rFont val="Times New Roman"/>
        <family val="1"/>
      </rPr>
      <t>3</t>
    </r>
  </si>
  <si>
    <r>
      <t>MgSO</t>
    </r>
    <r>
      <rPr>
        <vertAlign val="subscript"/>
        <sz val="13"/>
        <color theme="1"/>
        <rFont val="Times New Roman"/>
        <family val="1"/>
      </rPr>
      <t>4</t>
    </r>
  </si>
  <si>
    <r>
      <t>Na­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EDTA</t>
    </r>
  </si>
  <si>
    <r>
      <t>CaCl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.2H­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</si>
  <si>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MnSO</t>
    </r>
    <r>
      <rPr>
        <vertAlign val="subscript"/>
        <sz val="13"/>
        <color theme="1"/>
        <rFont val="Times New Roman"/>
        <family val="1"/>
      </rPr>
      <t>4</t>
    </r>
  </si>
  <si>
    <r>
      <t>Na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MoO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.2H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</si>
  <si>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FeCl­</t>
    </r>
    <r>
      <rPr>
        <vertAlign val="subscript"/>
        <sz val="13"/>
        <color theme="1"/>
        <rFont val="Times New Roman"/>
        <family val="1"/>
      </rPr>
      <t>3</t>
    </r>
  </si>
  <si>
    <r>
      <t>(NH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)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SO</t>
    </r>
    <r>
      <rPr>
        <vertAlign val="subscript"/>
        <sz val="13"/>
        <color theme="1"/>
        <rFont val="Times New Roman"/>
        <family val="1"/>
      </rPr>
      <t>4</t>
    </r>
  </si>
  <si>
    <r>
      <t>NaNO</t>
    </r>
    <r>
      <rPr>
        <vertAlign val="subscript"/>
        <sz val="13"/>
        <color theme="1"/>
        <rFont val="Times New Roman"/>
        <family val="1"/>
      </rPr>
      <t>3</t>
    </r>
  </si>
  <si>
    <r>
      <t>FeSO</t>
    </r>
    <r>
      <rPr>
        <vertAlign val="subscript"/>
        <sz val="13"/>
        <color theme="1"/>
        <rFont val="Times New Roman"/>
        <family val="1"/>
      </rPr>
      <t>4</t>
    </r>
  </si>
  <si>
    <r>
      <t>FeSO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.7H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</si>
  <si>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Ca</t>
    </r>
    <r>
      <rPr>
        <vertAlign val="sub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>(PO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)</t>
    </r>
  </si>
  <si>
    <r>
      <t>KH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PO</t>
    </r>
    <r>
      <rPr>
        <vertAlign val="subscript"/>
        <sz val="13"/>
        <color theme="1"/>
        <rFont val="Times New Roman"/>
        <family val="1"/>
      </rPr>
      <t>4</t>
    </r>
  </si>
  <si>
    <r>
      <t>NH</t>
    </r>
    <r>
      <rPr>
        <vertAlign val="subscript"/>
        <sz val="13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>OH</t>
    </r>
  </si>
  <si>
    <r>
      <t xml:space="preserve">Màng lọc 0.2 mm </t>
    </r>
    <r>
      <rPr>
        <i/>
        <sz val="13"/>
        <color theme="1"/>
        <rFont val="Times New Roman"/>
        <family val="1"/>
      </rPr>
      <t>(của whatman hoặc tương đương)</t>
    </r>
  </si>
  <si>
    <r>
      <t xml:space="preserve">1. Chứng nhận quy trình sản xuất VietGAP trong trồng trọt, chăn nuôi, nuôi trồng thủy sản </t>
    </r>
    <r>
      <rPr>
        <i/>
        <sz val="12"/>
        <color theme="1"/>
        <rFont val="Times New Roman"/>
        <family val="1"/>
      </rPr>
      <t>(định mức 01 ha đối với VietGAP trồng trọt, VietGAP nuôi trồng thủy sản; &lt; 500 gia súc, &lt;5000 gia cầm, &lt;200 bọng ong đối với VietGAP chăn nuôi)</t>
    </r>
  </si>
  <si>
    <r>
      <t xml:space="preserve">Máy tính xách tay </t>
    </r>
    <r>
      <rPr>
        <i/>
        <sz val="12"/>
        <color theme="1"/>
        <rFont val="Times New Roman"/>
        <family val="1"/>
      </rPr>
      <t>(laptop)</t>
    </r>
  </si>
  <si>
    <r>
      <t xml:space="preserve">3. Chứng nhận Hệ thống quản lý chất lượng sản phẩm </t>
    </r>
    <r>
      <rPr>
        <i/>
        <sz val="12"/>
        <color theme="1"/>
        <rFont val="Times New Roman"/>
        <family val="1"/>
      </rPr>
      <t>(HACCP, GMP, ISO 9001:2015, ISO 22000:2018)</t>
    </r>
  </si>
  <si>
    <r>
      <t xml:space="preserve">Đối với nhóm các chỉ tiêu vi sinh vật trong phân bón và thực phẩm </t>
    </r>
    <r>
      <rPr>
        <i/>
        <sz val="12"/>
        <color theme="1"/>
        <rFont val="Times New Roman"/>
        <family val="1"/>
      </rPr>
      <t xml:space="preserve">(Vi sinh vật cố định nito, vi sinh vật phân giải xenlulo, vi sinh vật phân giải photpho, Salmonela, E.Coli,…) </t>
    </r>
  </si>
  <si>
    <r>
      <t xml:space="preserve">Đối với nhóm các chỉ tiêu kháng sinh </t>
    </r>
    <r>
      <rPr>
        <i/>
        <sz val="12"/>
        <color theme="1"/>
        <rFont val="Times New Roman"/>
        <family val="1"/>
      </rPr>
      <t xml:space="preserve">(Chloramphenicol, Tetracyline, Pennicilin…) </t>
    </r>
  </si>
  <si>
    <t>Máy vortex</t>
  </si>
  <si>
    <r>
      <t xml:space="preserve">Đối với chỉ tiêu thuốc BVTV </t>
    </r>
    <r>
      <rPr>
        <i/>
        <sz val="12"/>
        <color theme="1"/>
        <rFont val="Times New Roman"/>
        <family val="1"/>
      </rPr>
      <t xml:space="preserve">(nhóm Cabamate, nhóm cúc, nhóm lân hữu cơ, nhóm chlo…) </t>
    </r>
  </si>
  <si>
    <r>
      <t>Đối với chỉ tiêu chất cấm</t>
    </r>
    <r>
      <rPr>
        <i/>
        <sz val="12"/>
        <color theme="1"/>
        <rFont val="Times New Roman"/>
        <family val="1"/>
      </rPr>
      <t xml:space="preserve"> (Auramin O, Salbutamol, Clenbuterol, Ractopamine…,)</t>
    </r>
  </si>
  <si>
    <r>
      <t xml:space="preserve">Đối với nhóm chỉ tiêu độc tố </t>
    </r>
    <r>
      <rPr>
        <i/>
        <sz val="12"/>
        <color theme="1"/>
        <rFont val="Times New Roman"/>
        <family val="1"/>
      </rPr>
      <t xml:space="preserve">(mycotoxin, aflatoxin,…) </t>
    </r>
  </si>
  <si>
    <r>
      <t xml:space="preserve">Đối với chỉ tiêu phụ gia thực phẩm </t>
    </r>
    <r>
      <rPr>
        <i/>
        <sz val="12"/>
        <color theme="1"/>
        <rFont val="Times New Roman"/>
        <family val="1"/>
      </rPr>
      <t>(photphats, sunfit, sunfat, natriborat…)</t>
    </r>
  </si>
  <si>
    <t>Báo giá ngày 09/8/2023 của Cửa hàng kinh doanh Lê Huy Trường; Báo giá ngày 8/8/2023 của Cửa hàng kinh doanh Lê Thị Dần, Báo giá ngày 9/8/2023 của Cửa hàng kinh doanh Lê Hữu Xuân</t>
  </si>
  <si>
    <t>Số giờ hoạt động/năm</t>
  </si>
  <si>
    <t>Báo giá ngày 8/8/2023 của Công ty TNHH Thanh Long; Báo giá ngày 11/8/2023 của Công ty TNHH Thương mại và dịch vụ Mạnh Đình; Báo giá ngày 11/8/2023 của Công ty TNHH Lê Hoàng</t>
  </si>
  <si>
    <t>Báo giá ngày 03/10/2023 và báo giá ngày 20/9 của  Trung tâm kiểm nghiệm và CNCL TQC</t>
  </si>
  <si>
    <t xml:space="preserve">Báo giá ngày 10/8/2023 của Cửa hàng hóa chất vật tư khoa học kỹ thuật Thu Hương; Báo giá ngày 5/8/2023 của Cửa hàng vật tư KHTB y tế Tâm An; </t>
  </si>
  <si>
    <t>Báo giá ngày 14/8/2023 của Công ty CP Giấy Ánh-Mai, của Công ty CP Thương mại và dịch vụ Nhật Minh TH, Báo giá ngày 15/8/2023 của Cửa hàng kinh doanh Nguyễn Hải Ninh</t>
  </si>
  <si>
    <t>Báo giá ngày 05/8/2023 của Cửa hàng vật tư KHTB y tế Tâm An, Báo giá ngày 01/8/2023 của Công ty TNHH Vật tư khoa học công nghệ T&amp;T, Báo giá ngày 10/8/2023 của Cửa hàng hóa chất vật tư khoa học kỹ thuật Thu Hương</t>
  </si>
  <si>
    <t>Đơn vị: Đồng</t>
  </si>
  <si>
    <t>Đơn vị tính: Đồng</t>
  </si>
  <si>
    <t xml:space="preserve">BIỂU SỐ 02: ĐƠN GIÁ NGÀY CÔNG </t>
  </si>
  <si>
    <t>BIỂU SỐ 03: ĐƠN GIÁ CÔNG THEO ĐỊNH MỨC</t>
  </si>
  <si>
    <t xml:space="preserve">BIỂU SỐ 04: ĐƠN GIÁ MÁY MÓC THIẾT BỊ </t>
  </si>
  <si>
    <t>BIỂU SỐ 05: ĐƠN GIÁ HOÁ CHẤT, VẬT TƯ, NĂNG LƯỢNG TIÊU HAO</t>
  </si>
  <si>
    <r>
      <t xml:space="preserve">Thành tiền </t>
    </r>
    <r>
      <rPr>
        <i/>
        <sz val="13"/>
        <color theme="1"/>
        <rFont val="Times New Roman"/>
        <family val="1"/>
      </rPr>
      <t>(Đồng)</t>
    </r>
  </si>
  <si>
    <r>
      <t xml:space="preserve">Đơn giá </t>
    </r>
    <r>
      <rPr>
        <i/>
        <sz val="13"/>
        <color theme="1"/>
        <rFont val="Times New Roman"/>
        <family val="1"/>
      </rPr>
      <t>(Đồng/đvt)</t>
    </r>
  </si>
  <si>
    <t xml:space="preserve"> Đơn giá thiết bị/giờ (Đồng/đvt) </t>
  </si>
  <si>
    <t xml:space="preserve"> Đơn giá thiết bị phân bổ (Đồng/đvt) </t>
  </si>
  <si>
    <r>
      <t xml:space="preserve">Thành tiền </t>
    </r>
    <r>
      <rPr>
        <i/>
        <sz val="12"/>
        <rFont val="Times New Roman"/>
        <family val="1"/>
      </rPr>
      <t>(Đồng)</t>
    </r>
  </si>
  <si>
    <r>
      <t xml:space="preserve">Đơn giá ngày công </t>
    </r>
    <r>
      <rPr>
        <i/>
        <sz val="12"/>
        <rFont val="Times New Roman"/>
        <family val="1"/>
      </rPr>
      <t>(Đồng)</t>
    </r>
  </si>
  <si>
    <t>BIỂU SỐ 01: TỔNG HỢP</t>
  </si>
  <si>
    <t>theo Hợp đồng số 74/HĐKT, ngày 08/7/2019, duy trì 24/24 tiếng</t>
  </si>
  <si>
    <t>theo Hợp đồng số 74/HĐKT, ngày 08/7/2019; thời gian hoạt động duy trì 24/24</t>
  </si>
  <si>
    <t>Số TT 9 loại TSCĐ máy vi tính sổ TSCĐ</t>
  </si>
  <si>
    <t>theo STT 43, loại TSCĐ: Các thiết bị đo lường, thí nghiệm khác,  sổ tscd</t>
  </si>
  <si>
    <t>theo STT 40, loại TSCĐ: Các thiết bị đo lường, thí nghiệm khác,  sổ tscd</t>
  </si>
  <si>
    <t>theo STT 81, loại TSCĐ: Các thiết bị đo lường, thí nghiệm khác,  sổ tscd</t>
  </si>
  <si>
    <t>theo STT 100, loại TSCĐ: Các thiết bị đo lường, thí nghiệm khác,  sổ tscd</t>
  </si>
  <si>
    <t>theo STT 6, loại TSCĐ: Các thiết bị đo lường, thí nghiệm khác,  sổ tscd</t>
  </si>
  <si>
    <t>theo STT 13, loại TSCĐ: Các thiết bị đo lường, thí nghiệm khác,  sổ tscd</t>
  </si>
  <si>
    <t>theo STT 5, loại TSCĐ: Các thiết bị đo lường, thí nghiệm khác,  sổ tscd</t>
  </si>
  <si>
    <t>Số TT 1 loại TSCĐ: Máy photocoppy, sổ TSCĐ</t>
  </si>
  <si>
    <t>theo STT 3, loại TSCĐ: máy điều hòa, sổ tscd</t>
  </si>
  <si>
    <t>theo STT 3, loại TSCĐ: Các thiết bị đo lường, thí nghiệm khác,  sổ tscd</t>
  </si>
  <si>
    <t>theo STT 2, loại TSCĐ: Các thiết bị đo lường, thí nghiệm khác,  sổ tscd</t>
  </si>
  <si>
    <t>theo STT 101, loại TSCĐ: Các thiết bị đo lường, thí nghiệm khác,  sổ tscd</t>
  </si>
  <si>
    <t>theo STT 50, loại TSCĐ: Các thiết bị đo lường, thí nghiệm khác,  sổ tscd</t>
  </si>
  <si>
    <t>theo STT 77, loại TSCĐ: Các thiết bị đo lường, thí nghiệm khác,  sổ tscd</t>
  </si>
  <si>
    <t>theo STT 1, loại TSCĐ: Các thiết bị đo lường, thí nghiệm khác,  sổ tscd</t>
  </si>
  <si>
    <t>theo STT 68, loại TSCĐ: Các thiết bị đo lường, thí nghiệm khác,  sổ tscd</t>
  </si>
  <si>
    <t>theo STT 47, loại TSCĐ: Các thiết bị đo lường, thí nghiệm khác,  sổ tscd</t>
  </si>
  <si>
    <t>theo STT 78, loại TSCĐ: Các thiết bị đo lường, thí nghiệm khác,  sổ tscd</t>
  </si>
  <si>
    <t>theo STT 27, loại TSCĐ: Các thiết bị đo lường, thí nghiệm khác,  sổ tscd</t>
  </si>
  <si>
    <t>theo STT 71, loại TSCĐ: Các thiết bị đo lường, thí nghiệm khác,  sổ tscd</t>
  </si>
  <si>
    <t>theo STT 69, loại TSCĐ: Các thiết bị đo lường, thí nghiệm khác,  sổ tscd</t>
  </si>
  <si>
    <t>theo STT 54, loại TSCĐ: Các thiết bị đo lường, thí nghiệm khác,  sổ tscd</t>
  </si>
  <si>
    <t>theo STT 60, loại TSCĐ: Các thiết bị đo lường, thí nghiệm khác,  sổ tscd</t>
  </si>
  <si>
    <t>theo STT 79, loại TSCĐ: Các thiết bị đo lường, thí nghiệm khác,  sổ tscd</t>
  </si>
  <si>
    <t>theo Hợp đồng số 74/HĐKT, ngày 08/7/2019 (STT 31 Phần A, mục I.2)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</si>
</sst>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"/>
    <numFmt numFmtId="165" formatCode="0.0000"/>
    <numFmt numFmtId="166" formatCode="0.0"/>
    <numFmt numFmtId="167" formatCode="_(* #,##0_);_(* \(#,##0\);_(* &quot;-&quot;???_);_(@_)"/>
    <numFmt numFmtId="168" formatCode="_(* #,##0_);_(* \(#,##0\);_(* &quot;-&quot;??_);_(@_)"/>
    <numFmt numFmtId="169" formatCode="#,##0.000"/>
  </numFmts>
  <fonts count="37">
    <font>
      <sz val="14"/>
      <color theme="1"/>
      <name val="Times New Roman"/>
      <charset val="134"/>
    </font>
    <font>
      <sz val="13"/>
      <name val="Times New Roman"/>
      <family val="1"/>
    </font>
    <font>
      <b/>
      <sz val="13"/>
      <name val="Times New Roman"/>
      <family val="1"/>
    </font>
    <font>
      <sz val="14"/>
      <color rgb="FF000000"/>
      <name val="Times New Roman"/>
      <family val="1"/>
    </font>
    <font>
      <sz val="13"/>
      <name val="Calibri Light"/>
      <family val="2"/>
      <scheme val="major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4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sz val="10"/>
      <name val="MS Sans Serif"/>
      <family val="2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vertAlign val="subscript"/>
      <sz val="13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Times New Roman"/>
      <family val="1"/>
    </font>
    <font>
      <i/>
      <sz val="14"/>
      <color rgb="FF000000"/>
      <name val="Times New Roman"/>
      <family val="1"/>
    </font>
    <font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28" fillId="0" borderId="0" applyFont="0" applyFill="0" applyBorder="0" applyAlignment="0" applyProtection="0"/>
    <xf numFmtId="0" fontId="1" fillId="0" borderId="0"/>
    <xf numFmtId="0" fontId="26" fillId="0" borderId="0"/>
  </cellStyleXfs>
  <cellXfs count="338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justify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11" fillId="2" borderId="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3" fontId="11" fillId="2" borderId="8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169" fontId="7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3" fillId="0" borderId="8" xfId="0" applyFont="1" applyBorder="1" applyAlignment="1">
      <alignment horizontal="center" vertical="center" wrapText="1"/>
    </xf>
    <xf numFmtId="3" fontId="0" fillId="0" borderId="11" xfId="0" applyNumberFormat="1" applyBorder="1"/>
    <xf numFmtId="0" fontId="0" fillId="0" borderId="11" xfId="0" applyBorder="1"/>
    <xf numFmtId="0" fontId="0" fillId="2" borderId="0" xfId="0" applyFill="1"/>
    <xf numFmtId="169" fontId="0" fillId="0" borderId="0" xfId="0" applyNumberFormat="1"/>
    <xf numFmtId="3" fontId="20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/>
    </xf>
    <xf numFmtId="3" fontId="25" fillId="2" borderId="2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justify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 indent="3"/>
    </xf>
    <xf numFmtId="0" fontId="13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right" wrapText="1"/>
    </xf>
    <xf numFmtId="3" fontId="14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left" vertical="center" wrapText="1" indent="3"/>
    </xf>
    <xf numFmtId="0" fontId="13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2" borderId="0" xfId="0" applyFont="1" applyFill="1"/>
    <xf numFmtId="169" fontId="20" fillId="2" borderId="2" xfId="0" applyNumberFormat="1" applyFont="1" applyFill="1" applyBorder="1" applyAlignment="1">
      <alignment horizontal="center" vertical="center" wrapText="1"/>
    </xf>
    <xf numFmtId="169" fontId="21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/>
    <xf numFmtId="169" fontId="0" fillId="2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justify" vertical="center" wrapText="1"/>
    </xf>
    <xf numFmtId="168" fontId="5" fillId="2" borderId="2" xfId="1" applyNumberFormat="1" applyFont="1" applyFill="1" applyBorder="1" applyAlignment="1">
      <alignment horizontal="center" vertical="center"/>
    </xf>
    <xf numFmtId="168" fontId="5" fillId="2" borderId="2" xfId="1" applyNumberFormat="1" applyFont="1" applyFill="1" applyBorder="1" applyAlignment="1">
      <alignment vertical="center"/>
    </xf>
    <xf numFmtId="3" fontId="0" fillId="2" borderId="2" xfId="0" applyNumberFormat="1" applyFont="1" applyFill="1" applyBorder="1" applyAlignment="1">
      <alignment vertical="center"/>
    </xf>
    <xf numFmtId="168" fontId="0" fillId="2" borderId="0" xfId="0" applyNumberFormat="1" applyFont="1" applyFill="1"/>
    <xf numFmtId="0" fontId="22" fillId="2" borderId="9" xfId="0" applyFont="1" applyFill="1" applyBorder="1" applyAlignment="1">
      <alignment horizontal="justify" vertical="center"/>
    </xf>
    <xf numFmtId="0" fontId="22" fillId="2" borderId="2" xfId="0" applyFont="1" applyFill="1" applyBorder="1" applyAlignment="1">
      <alignment horizontal="justify" vertical="center"/>
    </xf>
    <xf numFmtId="0" fontId="22" fillId="2" borderId="8" xfId="0" applyFont="1" applyFill="1" applyBorder="1" applyAlignment="1">
      <alignment horizontal="justify" vertical="center" wrapText="1"/>
    </xf>
    <xf numFmtId="3" fontId="22" fillId="2" borderId="2" xfId="0" applyNumberFormat="1" applyFont="1" applyFill="1" applyBorder="1" applyAlignment="1">
      <alignment vertical="center" wrapText="1"/>
    </xf>
    <xf numFmtId="37" fontId="22" fillId="2" borderId="2" xfId="0" applyNumberFormat="1" applyFont="1" applyFill="1" applyBorder="1" applyAlignment="1">
      <alignment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justify" vertical="center" wrapText="1"/>
    </xf>
    <xf numFmtId="3" fontId="24" fillId="2" borderId="2" xfId="0" applyNumberFormat="1" applyFont="1" applyFill="1" applyBorder="1" applyAlignment="1">
      <alignment vertical="center" wrapText="1"/>
    </xf>
    <xf numFmtId="168" fontId="25" fillId="2" borderId="2" xfId="1" applyNumberFormat="1" applyFont="1" applyFill="1" applyBorder="1" applyAlignment="1">
      <alignment vertical="center"/>
    </xf>
    <xf numFmtId="3" fontId="18" fillId="2" borderId="2" xfId="0" applyNumberFormat="1" applyFont="1" applyFill="1" applyBorder="1" applyAlignment="1">
      <alignment vertical="center"/>
    </xf>
    <xf numFmtId="168" fontId="18" fillId="2" borderId="0" xfId="0" applyNumberFormat="1" applyFont="1" applyFill="1"/>
    <xf numFmtId="0" fontId="18" fillId="2" borderId="0" xfId="0" applyFont="1" applyFill="1"/>
    <xf numFmtId="3" fontId="24" fillId="2" borderId="3" xfId="0" applyNumberFormat="1" applyFont="1" applyFill="1" applyBorder="1" applyAlignment="1">
      <alignment vertical="center" wrapText="1"/>
    </xf>
    <xf numFmtId="168" fontId="25" fillId="2" borderId="3" xfId="1" applyNumberFormat="1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8" fillId="2" borderId="0" xfId="0" applyFont="1" applyFill="1"/>
    <xf numFmtId="0" fontId="8" fillId="2" borderId="2" xfId="0" applyFont="1" applyFill="1" applyBorder="1"/>
    <xf numFmtId="0" fontId="6" fillId="2" borderId="2" xfId="0" applyFont="1" applyFill="1" applyBorder="1" applyAlignment="1">
      <alignment horizontal="justify"/>
    </xf>
    <xf numFmtId="0" fontId="6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right" vertical="center"/>
    </xf>
    <xf numFmtId="168" fontId="6" fillId="2" borderId="2" xfId="0" applyNumberFormat="1" applyFont="1" applyFill="1" applyBorder="1" applyAlignment="1">
      <alignment horizontal="right" vertical="center"/>
    </xf>
    <xf numFmtId="168" fontId="8" fillId="2" borderId="2" xfId="0" applyNumberFormat="1" applyFont="1" applyFill="1" applyBorder="1" applyAlignment="1">
      <alignment horizontal="justify" vertical="center" wrapText="1"/>
    </xf>
    <xf numFmtId="168" fontId="6" fillId="2" borderId="2" xfId="0" applyNumberFormat="1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168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right" vertical="center"/>
    </xf>
    <xf numFmtId="168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indent="3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/>
    <xf numFmtId="168" fontId="6" fillId="2" borderId="2" xfId="0" applyNumberFormat="1" applyFont="1" applyFill="1" applyBorder="1"/>
    <xf numFmtId="0" fontId="6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justify"/>
    </xf>
    <xf numFmtId="3" fontId="8" fillId="2" borderId="2" xfId="0" applyNumberFormat="1" applyFont="1" applyFill="1" applyBorder="1"/>
    <xf numFmtId="3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/>
    <xf numFmtId="167" fontId="6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8" fontId="8" fillId="2" borderId="2" xfId="1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168" fontId="8" fillId="2" borderId="2" xfId="0" applyNumberFormat="1" applyFont="1" applyFill="1" applyBorder="1" applyAlignment="1">
      <alignment horizontal="center" vertical="center" wrapText="1"/>
    </xf>
    <xf numFmtId="168" fontId="8" fillId="2" borderId="2" xfId="1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168" fontId="8" fillId="2" borderId="2" xfId="0" applyNumberFormat="1" applyFont="1" applyFill="1" applyBorder="1"/>
    <xf numFmtId="0" fontId="8" fillId="2" borderId="2" xfId="0" applyFont="1" applyFill="1" applyBorder="1" applyAlignment="1">
      <alignment wrapText="1"/>
    </xf>
    <xf numFmtId="3" fontId="33" fillId="3" borderId="6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0" xfId="0" applyNumberFormat="1" applyFont="1" applyFill="1"/>
    <xf numFmtId="0" fontId="8" fillId="2" borderId="5" xfId="0" applyFont="1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168" fontId="8" fillId="0" borderId="2" xfId="1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168" fontId="8" fillId="0" borderId="2" xfId="1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8" fillId="2" borderId="2" xfId="0" applyFont="1" applyFill="1" applyBorder="1" applyAlignment="1">
      <alignment vertical="center"/>
    </xf>
    <xf numFmtId="168" fontId="6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justify" vertical="center" wrapText="1"/>
    </xf>
    <xf numFmtId="0" fontId="31" fillId="0" borderId="2" xfId="0" applyFont="1" applyFill="1" applyBorder="1" applyAlignment="1">
      <alignment horizontal="center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0" fontId="31" fillId="0" borderId="0" xfId="0" applyFont="1" applyFill="1"/>
    <xf numFmtId="3" fontId="31" fillId="0" borderId="12" xfId="0" applyNumberFormat="1" applyFont="1" applyFill="1" applyBorder="1" applyAlignment="1">
      <alignment horizontal="right" vertical="center" wrapText="1"/>
    </xf>
    <xf numFmtId="3" fontId="31" fillId="0" borderId="12" xfId="0" applyNumberFormat="1" applyFont="1" applyFill="1" applyBorder="1" applyAlignment="1">
      <alignment horizontal="right" vertical="center"/>
    </xf>
    <xf numFmtId="3" fontId="31" fillId="0" borderId="2" xfId="0" applyNumberFormat="1" applyFont="1" applyFill="1" applyBorder="1" applyAlignment="1">
      <alignment horizontal="right" vertical="center"/>
    </xf>
    <xf numFmtId="3" fontId="28" fillId="0" borderId="2" xfId="0" applyNumberFormat="1" applyFont="1" applyFill="1" applyBorder="1" applyAlignment="1">
      <alignment horizontal="right"/>
    </xf>
    <xf numFmtId="0" fontId="31" fillId="0" borderId="0" xfId="0" applyFont="1" applyFill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right" vertical="center" wrapText="1"/>
    </xf>
    <xf numFmtId="3" fontId="29" fillId="0" borderId="1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/>
    <xf numFmtId="164" fontId="31" fillId="0" borderId="2" xfId="1" applyNumberFormat="1" applyFont="1" applyFill="1" applyBorder="1" applyAlignment="1">
      <alignment horizontal="right" vertical="center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 wrapText="1"/>
    </xf>
    <xf numFmtId="49" fontId="30" fillId="0" borderId="12" xfId="0" applyNumberFormat="1" applyFont="1" applyFill="1" applyBorder="1" applyAlignment="1">
      <alignment horizontal="center" vertical="center" wrapText="1"/>
    </xf>
    <xf numFmtId="49" fontId="31" fillId="0" borderId="2" xfId="0" applyNumberFormat="1" applyFont="1" applyFill="1" applyBorder="1"/>
    <xf numFmtId="49" fontId="31" fillId="0" borderId="0" xfId="0" applyNumberFormat="1" applyFont="1" applyFill="1"/>
    <xf numFmtId="3" fontId="29" fillId="0" borderId="12" xfId="0" applyNumberFormat="1" applyFont="1" applyFill="1" applyBorder="1" applyAlignment="1">
      <alignment vertical="center" wrapText="1"/>
    </xf>
    <xf numFmtId="3" fontId="28" fillId="0" borderId="2" xfId="0" applyNumberFormat="1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/>
    </xf>
    <xf numFmtId="0" fontId="31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justify" vertical="center" wrapText="1"/>
    </xf>
    <xf numFmtId="3" fontId="28" fillId="0" borderId="3" xfId="0" applyNumberFormat="1" applyFont="1" applyFill="1" applyBorder="1" applyAlignment="1">
      <alignment horizontal="right"/>
    </xf>
    <xf numFmtId="3" fontId="31" fillId="0" borderId="13" xfId="0" applyNumberFormat="1" applyFont="1" applyFill="1" applyBorder="1" applyAlignment="1">
      <alignment horizontal="right" vertical="center"/>
    </xf>
    <xf numFmtId="3" fontId="31" fillId="0" borderId="2" xfId="1" applyNumberFormat="1" applyFont="1" applyFill="1" applyBorder="1" applyAlignment="1">
      <alignment horizontal="right" vertical="center" wrapText="1"/>
    </xf>
    <xf numFmtId="167" fontId="31" fillId="0" borderId="2" xfId="0" applyNumberFormat="1" applyFont="1" applyFill="1" applyBorder="1"/>
    <xf numFmtId="164" fontId="28" fillId="0" borderId="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/>
    <xf numFmtId="167" fontId="8" fillId="0" borderId="2" xfId="0" applyNumberFormat="1" applyFont="1" applyFill="1" applyBorder="1" applyAlignment="1">
      <alignment horizontal="right" vertical="center"/>
    </xf>
    <xf numFmtId="168" fontId="8" fillId="0" borderId="2" xfId="0" applyNumberFormat="1" applyFont="1" applyFill="1" applyBorder="1" applyAlignment="1">
      <alignment horizontal="right" vertical="center"/>
    </xf>
    <xf numFmtId="0" fontId="31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1" fillId="0" borderId="0" xfId="0" applyFont="1" applyFill="1"/>
    <xf numFmtId="3" fontId="1" fillId="0" borderId="0" xfId="0" applyNumberFormat="1" applyFont="1" applyFill="1"/>
    <xf numFmtId="0" fontId="2" fillId="0" borderId="0" xfId="0" applyFont="1" applyFill="1" applyAlignment="1">
      <alignment horizontal="left" vertical="center" indent="3"/>
    </xf>
    <xf numFmtId="3" fontId="1" fillId="0" borderId="1" xfId="0" applyNumberFormat="1" applyFont="1" applyFill="1" applyBorder="1"/>
    <xf numFmtId="3" fontId="31" fillId="0" borderId="2" xfId="1" applyNumberFormat="1" applyFont="1" applyFill="1" applyBorder="1" applyAlignment="1">
      <alignment horizontal="right" vertical="center"/>
    </xf>
    <xf numFmtId="3" fontId="31" fillId="0" borderId="0" xfId="0" applyNumberFormat="1" applyFont="1" applyFill="1"/>
    <xf numFmtId="3" fontId="31" fillId="0" borderId="2" xfId="1" applyNumberFormat="1" applyFont="1" applyFill="1" applyBorder="1" applyAlignment="1">
      <alignment vertical="center"/>
    </xf>
    <xf numFmtId="3" fontId="31" fillId="0" borderId="2" xfId="0" applyNumberFormat="1" applyFont="1" applyFill="1" applyBorder="1" applyAlignment="1">
      <alignment vertical="center"/>
    </xf>
    <xf numFmtId="2" fontId="29" fillId="0" borderId="2" xfId="0" applyNumberFormat="1" applyFont="1" applyFill="1" applyBorder="1" applyAlignment="1">
      <alignment horizontal="center" vertical="center" wrapText="1"/>
    </xf>
    <xf numFmtId="2" fontId="29" fillId="0" borderId="12" xfId="0" applyNumberFormat="1" applyFont="1" applyFill="1" applyBorder="1" applyAlignment="1">
      <alignment horizontal="center" vertical="center" wrapText="1"/>
    </xf>
    <xf numFmtId="2" fontId="29" fillId="0" borderId="2" xfId="0" applyNumberFormat="1" applyFont="1" applyFill="1" applyBorder="1" applyAlignment="1">
      <alignment horizontal="center" vertical="center"/>
    </xf>
    <xf numFmtId="2" fontId="29" fillId="0" borderId="2" xfId="0" applyNumberFormat="1" applyFont="1" applyFill="1" applyBorder="1" applyAlignment="1">
      <alignment horizontal="justify" vertical="center" wrapText="1"/>
    </xf>
    <xf numFmtId="1" fontId="31" fillId="0" borderId="2" xfId="0" applyNumberFormat="1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>
      <alignment horizontal="justify" vertical="center" wrapText="1"/>
    </xf>
    <xf numFmtId="2" fontId="31" fillId="0" borderId="2" xfId="0" applyNumberFormat="1" applyFont="1" applyFill="1" applyBorder="1" applyAlignment="1">
      <alignment horizontal="center" vertical="center" wrapText="1"/>
    </xf>
    <xf numFmtId="165" fontId="31" fillId="0" borderId="2" xfId="0" applyNumberFormat="1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center" vertical="center" wrapText="1"/>
    </xf>
    <xf numFmtId="166" fontId="31" fillId="0" borderId="2" xfId="0" applyNumberFormat="1" applyFont="1" applyFill="1" applyBorder="1" applyAlignment="1">
      <alignment horizontal="center" vertical="center" wrapText="1"/>
    </xf>
    <xf numFmtId="2" fontId="29" fillId="0" borderId="2" xfId="0" applyNumberFormat="1" applyFont="1" applyFill="1" applyBorder="1" applyAlignment="1">
      <alignment horizontal="right" vertical="center" wrapText="1"/>
    </xf>
    <xf numFmtId="2" fontId="29" fillId="0" borderId="12" xfId="0" applyNumberFormat="1" applyFont="1" applyFill="1" applyBorder="1" applyAlignment="1">
      <alignment horizontal="right" vertical="center" wrapText="1"/>
    </xf>
    <xf numFmtId="0" fontId="31" fillId="0" borderId="4" xfId="0" applyFont="1" applyFill="1" applyBorder="1" applyAlignment="1"/>
    <xf numFmtId="0" fontId="29" fillId="0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3" fontId="31" fillId="0" borderId="2" xfId="0" applyNumberFormat="1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justify" vertical="center"/>
    </xf>
    <xf numFmtId="3" fontId="31" fillId="0" borderId="2" xfId="0" applyNumberFormat="1" applyFont="1" applyFill="1" applyBorder="1"/>
    <xf numFmtId="3" fontId="31" fillId="0" borderId="12" xfId="0" applyNumberFormat="1" applyFont="1" applyFill="1" applyBorder="1"/>
    <xf numFmtId="0" fontId="31" fillId="0" borderId="0" xfId="0" applyFont="1" applyFill="1" applyAlignment="1">
      <alignment horizontal="justify" vertical="center"/>
    </xf>
    <xf numFmtId="0" fontId="29" fillId="0" borderId="2" xfId="0" applyFont="1" applyFill="1" applyBorder="1" applyAlignment="1">
      <alignment horizontal="center"/>
    </xf>
    <xf numFmtId="3" fontId="29" fillId="0" borderId="12" xfId="0" applyNumberFormat="1" applyFont="1" applyFill="1" applyBorder="1" applyAlignment="1">
      <alignment horizontal="center"/>
    </xf>
    <xf numFmtId="3" fontId="31" fillId="0" borderId="2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/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justify" vertical="center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vertical="center"/>
    </xf>
    <xf numFmtId="167" fontId="8" fillId="4" borderId="2" xfId="0" applyNumberFormat="1" applyFont="1" applyFill="1" applyBorder="1" applyAlignment="1">
      <alignment horizontal="right" vertical="center"/>
    </xf>
    <xf numFmtId="168" fontId="8" fillId="4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wrapText="1"/>
    </xf>
    <xf numFmtId="0" fontId="8" fillId="4" borderId="0" xfId="0" applyFont="1" applyFill="1"/>
    <xf numFmtId="168" fontId="17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/>
    <xf numFmtId="168" fontId="17" fillId="4" borderId="2" xfId="0" applyNumberFormat="1" applyFont="1" applyFill="1" applyBorder="1"/>
    <xf numFmtId="3" fontId="8" fillId="4" borderId="2" xfId="0" applyNumberFormat="1" applyFont="1" applyFill="1" applyBorder="1"/>
    <xf numFmtId="0" fontId="8" fillId="2" borderId="2" xfId="0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167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3" fontId="20" fillId="2" borderId="1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2" borderId="0" xfId="0" applyFill="1" applyBorder="1"/>
    <xf numFmtId="0" fontId="17" fillId="2" borderId="0" xfId="0" applyFont="1" applyFill="1" applyBorder="1"/>
    <xf numFmtId="168" fontId="0" fillId="2" borderId="0" xfId="0" applyNumberFormat="1" applyFill="1" applyBorder="1"/>
    <xf numFmtId="0" fontId="18" fillId="2" borderId="0" xfId="0" applyFont="1" applyFill="1" applyBorder="1"/>
    <xf numFmtId="3" fontId="18" fillId="2" borderId="0" xfId="0" applyNumberFormat="1" applyFont="1" applyFill="1" applyBorder="1"/>
    <xf numFmtId="0" fontId="0" fillId="0" borderId="0" xfId="0" applyBorder="1"/>
    <xf numFmtId="0" fontId="20" fillId="2" borderId="12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0" fillId="0" borderId="14" xfId="0" applyBorder="1"/>
    <xf numFmtId="0" fontId="0" fillId="0" borderId="5" xfId="0" applyBorder="1"/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20" fillId="2" borderId="12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justify" vertical="center" wrapText="1"/>
    </xf>
    <xf numFmtId="0" fontId="28" fillId="2" borderId="4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2" fontId="29" fillId="0" borderId="2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/>
    </xf>
    <xf numFmtId="0" fontId="34" fillId="0" borderId="3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 wrapText="1"/>
    </xf>
    <xf numFmtId="0" fontId="34" fillId="0" borderId="10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31" fillId="0" borderId="4" xfId="0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Style 1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Zalo%20Received%20Files\Hi&#7879;p%2008.5.23%20(S&#7917;a%20&#273;&#417;n%20gi&#225;%20c&#244;ng)%20(TT-CNCL)%20Bi&#7875;u%20t&#237;nh%20&#273;&#417;n%20gi&#225;%20d&#7883;ch%20v&#7909;%20n&#244;ng%20nghi&#7879;p-CV%205538%20S&#7903;%20n&#244;ng%20nghi&#7879;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t&#237;nh%20&#273;&#417;n%20gi&#225;\T&#237;nh%20gi&#225;%20ki&#7875;m%20nghi&#7879;m%20ph&#226;n%20b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 đơn giá"/>
      <sheetName val="Biếu số 1"/>
      <sheetName val="Biểu số 1.1"/>
      <sheetName val="Biểu số 2-Đơn giá máy móc"/>
      <sheetName val="Biểu số 3- Đơngiá vật tư, nlieu"/>
      <sheetName val="Biểu số 6"/>
    </sheetNames>
    <sheetDataSet>
      <sheetData sheetId="0"/>
      <sheetData sheetId="1">
        <row r="7">
          <cell r="G7">
            <v>269791.363636364</v>
          </cell>
        </row>
        <row r="9">
          <cell r="G9">
            <v>336481.363636364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DG"/>
      <sheetName val="Tien cong"/>
      <sheetName val="NLNL"/>
      <sheetName val="Vật tư"/>
      <sheetName val="máy móc TB"/>
      <sheetName val="hóa chất"/>
    </sheetNames>
    <sheetDataSet>
      <sheetData sheetId="0"/>
      <sheetData sheetId="1"/>
      <sheetData sheetId="2"/>
      <sheetData sheetId="3">
        <row r="10">
          <cell r="E10">
            <v>25000</v>
          </cell>
        </row>
        <row r="26">
          <cell r="E26">
            <v>44000</v>
          </cell>
        </row>
        <row r="33">
          <cell r="E33">
            <v>66000</v>
          </cell>
        </row>
      </sheetData>
      <sheetData sheetId="4"/>
      <sheetData sheetId="5">
        <row r="10">
          <cell r="E10">
            <v>143.75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zoomScale="80" zoomScaleNormal="80" workbookViewId="0">
      <selection activeCell="A3" sqref="A3:I3"/>
    </sheetView>
  </sheetViews>
  <sheetFormatPr defaultColWidth="9" defaultRowHeight="18.75"/>
  <cols>
    <col min="1" max="1" width="5.44140625" customWidth="1"/>
    <col min="2" max="2" width="39.109375" customWidth="1"/>
    <col min="3" max="3" width="12.21875" customWidth="1"/>
    <col min="4" max="4" width="10.33203125" customWidth="1"/>
    <col min="5" max="5" width="11.44140625" customWidth="1"/>
    <col min="6" max="6" width="10.21875" customWidth="1"/>
    <col min="7" max="7" width="12.5546875" style="34" customWidth="1"/>
    <col min="8" max="8" width="13.5546875" customWidth="1"/>
    <col min="9" max="9" width="13.77734375" style="35" customWidth="1"/>
    <col min="10" max="10" width="22.88671875" customWidth="1"/>
    <col min="11" max="11" width="12.88671875" style="258" customWidth="1"/>
    <col min="12" max="12" width="9" style="258"/>
    <col min="255" max="255" width="8.21875" customWidth="1"/>
    <col min="256" max="256" width="18.44140625" customWidth="1"/>
    <col min="257" max="257" width="8.21875" customWidth="1"/>
    <col min="258" max="258" width="8" customWidth="1"/>
    <col min="259" max="259" width="7.77734375" customWidth="1"/>
    <col min="260" max="260" width="8.21875" customWidth="1"/>
    <col min="261" max="261" width="7.33203125" customWidth="1"/>
    <col min="262" max="262" width="8.6640625" customWidth="1"/>
    <col min="263" max="263" width="10.109375" customWidth="1"/>
    <col min="264" max="264" width="9.33203125" customWidth="1"/>
    <col min="511" max="511" width="8.21875" customWidth="1"/>
    <col min="512" max="512" width="18.44140625" customWidth="1"/>
    <col min="513" max="513" width="8.21875" customWidth="1"/>
    <col min="514" max="514" width="8" customWidth="1"/>
    <col min="515" max="515" width="7.77734375" customWidth="1"/>
    <col min="516" max="516" width="8.21875" customWidth="1"/>
    <col min="517" max="517" width="7.33203125" customWidth="1"/>
    <col min="518" max="518" width="8.6640625" customWidth="1"/>
    <col min="519" max="519" width="10.109375" customWidth="1"/>
    <col min="520" max="520" width="9.33203125" customWidth="1"/>
    <col min="767" max="767" width="8.21875" customWidth="1"/>
    <col min="768" max="768" width="18.44140625" customWidth="1"/>
    <col min="769" max="769" width="8.21875" customWidth="1"/>
    <col min="770" max="770" width="8" customWidth="1"/>
    <col min="771" max="771" width="7.77734375" customWidth="1"/>
    <col min="772" max="772" width="8.21875" customWidth="1"/>
    <col min="773" max="773" width="7.33203125" customWidth="1"/>
    <col min="774" max="774" width="8.6640625" customWidth="1"/>
    <col min="775" max="775" width="10.109375" customWidth="1"/>
    <col min="776" max="776" width="9.33203125" customWidth="1"/>
    <col min="1023" max="1023" width="8.21875" customWidth="1"/>
    <col min="1024" max="1024" width="18.44140625" customWidth="1"/>
    <col min="1025" max="1025" width="8.21875" customWidth="1"/>
    <col min="1026" max="1026" width="8" customWidth="1"/>
    <col min="1027" max="1027" width="7.77734375" customWidth="1"/>
    <col min="1028" max="1028" width="8.21875" customWidth="1"/>
    <col min="1029" max="1029" width="7.33203125" customWidth="1"/>
    <col min="1030" max="1030" width="8.6640625" customWidth="1"/>
    <col min="1031" max="1031" width="10.109375" customWidth="1"/>
    <col min="1032" max="1032" width="9.33203125" customWidth="1"/>
    <col min="1279" max="1279" width="8.21875" customWidth="1"/>
    <col min="1280" max="1280" width="18.44140625" customWidth="1"/>
    <col min="1281" max="1281" width="8.21875" customWidth="1"/>
    <col min="1282" max="1282" width="8" customWidth="1"/>
    <col min="1283" max="1283" width="7.77734375" customWidth="1"/>
    <col min="1284" max="1284" width="8.21875" customWidth="1"/>
    <col min="1285" max="1285" width="7.33203125" customWidth="1"/>
    <col min="1286" max="1286" width="8.6640625" customWidth="1"/>
    <col min="1287" max="1287" width="10.109375" customWidth="1"/>
    <col min="1288" max="1288" width="9.33203125" customWidth="1"/>
    <col min="1535" max="1535" width="8.21875" customWidth="1"/>
    <col min="1536" max="1536" width="18.44140625" customWidth="1"/>
    <col min="1537" max="1537" width="8.21875" customWidth="1"/>
    <col min="1538" max="1538" width="8" customWidth="1"/>
    <col min="1539" max="1539" width="7.77734375" customWidth="1"/>
    <col min="1540" max="1540" width="8.21875" customWidth="1"/>
    <col min="1541" max="1541" width="7.33203125" customWidth="1"/>
    <col min="1542" max="1542" width="8.6640625" customWidth="1"/>
    <col min="1543" max="1543" width="10.109375" customWidth="1"/>
    <col min="1544" max="1544" width="9.33203125" customWidth="1"/>
    <col min="1791" max="1791" width="8.21875" customWidth="1"/>
    <col min="1792" max="1792" width="18.44140625" customWidth="1"/>
    <col min="1793" max="1793" width="8.21875" customWidth="1"/>
    <col min="1794" max="1794" width="8" customWidth="1"/>
    <col min="1795" max="1795" width="7.77734375" customWidth="1"/>
    <col min="1796" max="1796" width="8.21875" customWidth="1"/>
    <col min="1797" max="1797" width="7.33203125" customWidth="1"/>
    <col min="1798" max="1798" width="8.6640625" customWidth="1"/>
    <col min="1799" max="1799" width="10.109375" customWidth="1"/>
    <col min="1800" max="1800" width="9.33203125" customWidth="1"/>
    <col min="2047" max="2047" width="8.21875" customWidth="1"/>
    <col min="2048" max="2048" width="18.44140625" customWidth="1"/>
    <col min="2049" max="2049" width="8.21875" customWidth="1"/>
    <col min="2050" max="2050" width="8" customWidth="1"/>
    <col min="2051" max="2051" width="7.77734375" customWidth="1"/>
    <col min="2052" max="2052" width="8.21875" customWidth="1"/>
    <col min="2053" max="2053" width="7.33203125" customWidth="1"/>
    <col min="2054" max="2054" width="8.6640625" customWidth="1"/>
    <col min="2055" max="2055" width="10.109375" customWidth="1"/>
    <col min="2056" max="2056" width="9.33203125" customWidth="1"/>
    <col min="2303" max="2303" width="8.21875" customWidth="1"/>
    <col min="2304" max="2304" width="18.44140625" customWidth="1"/>
    <col min="2305" max="2305" width="8.21875" customWidth="1"/>
    <col min="2306" max="2306" width="8" customWidth="1"/>
    <col min="2307" max="2307" width="7.77734375" customWidth="1"/>
    <col min="2308" max="2308" width="8.21875" customWidth="1"/>
    <col min="2309" max="2309" width="7.33203125" customWidth="1"/>
    <col min="2310" max="2310" width="8.6640625" customWidth="1"/>
    <col min="2311" max="2311" width="10.109375" customWidth="1"/>
    <col min="2312" max="2312" width="9.33203125" customWidth="1"/>
    <col min="2559" max="2559" width="8.21875" customWidth="1"/>
    <col min="2560" max="2560" width="18.44140625" customWidth="1"/>
    <col min="2561" max="2561" width="8.21875" customWidth="1"/>
    <col min="2562" max="2562" width="8" customWidth="1"/>
    <col min="2563" max="2563" width="7.77734375" customWidth="1"/>
    <col min="2564" max="2564" width="8.21875" customWidth="1"/>
    <col min="2565" max="2565" width="7.33203125" customWidth="1"/>
    <col min="2566" max="2566" width="8.6640625" customWidth="1"/>
    <col min="2567" max="2567" width="10.109375" customWidth="1"/>
    <col min="2568" max="2568" width="9.33203125" customWidth="1"/>
    <col min="2815" max="2815" width="8.21875" customWidth="1"/>
    <col min="2816" max="2816" width="18.44140625" customWidth="1"/>
    <col min="2817" max="2817" width="8.21875" customWidth="1"/>
    <col min="2818" max="2818" width="8" customWidth="1"/>
    <col min="2819" max="2819" width="7.77734375" customWidth="1"/>
    <col min="2820" max="2820" width="8.21875" customWidth="1"/>
    <col min="2821" max="2821" width="7.33203125" customWidth="1"/>
    <col min="2822" max="2822" width="8.6640625" customWidth="1"/>
    <col min="2823" max="2823" width="10.109375" customWidth="1"/>
    <col min="2824" max="2824" width="9.33203125" customWidth="1"/>
    <col min="3071" max="3071" width="8.21875" customWidth="1"/>
    <col min="3072" max="3072" width="18.44140625" customWidth="1"/>
    <col min="3073" max="3073" width="8.21875" customWidth="1"/>
    <col min="3074" max="3074" width="8" customWidth="1"/>
    <col min="3075" max="3075" width="7.77734375" customWidth="1"/>
    <col min="3076" max="3076" width="8.21875" customWidth="1"/>
    <col min="3077" max="3077" width="7.33203125" customWidth="1"/>
    <col min="3078" max="3078" width="8.6640625" customWidth="1"/>
    <col min="3079" max="3079" width="10.109375" customWidth="1"/>
    <col min="3080" max="3080" width="9.33203125" customWidth="1"/>
    <col min="3327" max="3327" width="8.21875" customWidth="1"/>
    <col min="3328" max="3328" width="18.44140625" customWidth="1"/>
    <col min="3329" max="3329" width="8.21875" customWidth="1"/>
    <col min="3330" max="3330" width="8" customWidth="1"/>
    <col min="3331" max="3331" width="7.77734375" customWidth="1"/>
    <col min="3332" max="3332" width="8.21875" customWidth="1"/>
    <col min="3333" max="3333" width="7.33203125" customWidth="1"/>
    <col min="3334" max="3334" width="8.6640625" customWidth="1"/>
    <col min="3335" max="3335" width="10.109375" customWidth="1"/>
    <col min="3336" max="3336" width="9.33203125" customWidth="1"/>
    <col min="3583" max="3583" width="8.21875" customWidth="1"/>
    <col min="3584" max="3584" width="18.44140625" customWidth="1"/>
    <col min="3585" max="3585" width="8.21875" customWidth="1"/>
    <col min="3586" max="3586" width="8" customWidth="1"/>
    <col min="3587" max="3587" width="7.77734375" customWidth="1"/>
    <col min="3588" max="3588" width="8.21875" customWidth="1"/>
    <col min="3589" max="3589" width="7.33203125" customWidth="1"/>
    <col min="3590" max="3590" width="8.6640625" customWidth="1"/>
    <col min="3591" max="3591" width="10.109375" customWidth="1"/>
    <col min="3592" max="3592" width="9.33203125" customWidth="1"/>
    <col min="3839" max="3839" width="8.21875" customWidth="1"/>
    <col min="3840" max="3840" width="18.44140625" customWidth="1"/>
    <col min="3841" max="3841" width="8.21875" customWidth="1"/>
    <col min="3842" max="3842" width="8" customWidth="1"/>
    <col min="3843" max="3843" width="7.77734375" customWidth="1"/>
    <col min="3844" max="3844" width="8.21875" customWidth="1"/>
    <col min="3845" max="3845" width="7.33203125" customWidth="1"/>
    <col min="3846" max="3846" width="8.6640625" customWidth="1"/>
    <col min="3847" max="3847" width="10.109375" customWidth="1"/>
    <col min="3848" max="3848" width="9.33203125" customWidth="1"/>
    <col min="4095" max="4095" width="8.21875" customWidth="1"/>
    <col min="4096" max="4096" width="18.44140625" customWidth="1"/>
    <col min="4097" max="4097" width="8.21875" customWidth="1"/>
    <col min="4098" max="4098" width="8" customWidth="1"/>
    <col min="4099" max="4099" width="7.77734375" customWidth="1"/>
    <col min="4100" max="4100" width="8.21875" customWidth="1"/>
    <col min="4101" max="4101" width="7.33203125" customWidth="1"/>
    <col min="4102" max="4102" width="8.6640625" customWidth="1"/>
    <col min="4103" max="4103" width="10.109375" customWidth="1"/>
    <col min="4104" max="4104" width="9.33203125" customWidth="1"/>
    <col min="4351" max="4351" width="8.21875" customWidth="1"/>
    <col min="4352" max="4352" width="18.44140625" customWidth="1"/>
    <col min="4353" max="4353" width="8.21875" customWidth="1"/>
    <col min="4354" max="4354" width="8" customWidth="1"/>
    <col min="4355" max="4355" width="7.77734375" customWidth="1"/>
    <col min="4356" max="4356" width="8.21875" customWidth="1"/>
    <col min="4357" max="4357" width="7.33203125" customWidth="1"/>
    <col min="4358" max="4358" width="8.6640625" customWidth="1"/>
    <col min="4359" max="4359" width="10.109375" customWidth="1"/>
    <col min="4360" max="4360" width="9.33203125" customWidth="1"/>
    <col min="4607" max="4607" width="8.21875" customWidth="1"/>
    <col min="4608" max="4608" width="18.44140625" customWidth="1"/>
    <col min="4609" max="4609" width="8.21875" customWidth="1"/>
    <col min="4610" max="4610" width="8" customWidth="1"/>
    <col min="4611" max="4611" width="7.77734375" customWidth="1"/>
    <col min="4612" max="4612" width="8.21875" customWidth="1"/>
    <col min="4613" max="4613" width="7.33203125" customWidth="1"/>
    <col min="4614" max="4614" width="8.6640625" customWidth="1"/>
    <col min="4615" max="4615" width="10.109375" customWidth="1"/>
    <col min="4616" max="4616" width="9.33203125" customWidth="1"/>
    <col min="4863" max="4863" width="8.21875" customWidth="1"/>
    <col min="4864" max="4864" width="18.44140625" customWidth="1"/>
    <col min="4865" max="4865" width="8.21875" customWidth="1"/>
    <col min="4866" max="4866" width="8" customWidth="1"/>
    <col min="4867" max="4867" width="7.77734375" customWidth="1"/>
    <col min="4868" max="4868" width="8.21875" customWidth="1"/>
    <col min="4869" max="4869" width="7.33203125" customWidth="1"/>
    <col min="4870" max="4870" width="8.6640625" customWidth="1"/>
    <col min="4871" max="4871" width="10.109375" customWidth="1"/>
    <col min="4872" max="4872" width="9.33203125" customWidth="1"/>
    <col min="5119" max="5119" width="8.21875" customWidth="1"/>
    <col min="5120" max="5120" width="18.44140625" customWidth="1"/>
    <col min="5121" max="5121" width="8.21875" customWidth="1"/>
    <col min="5122" max="5122" width="8" customWidth="1"/>
    <col min="5123" max="5123" width="7.77734375" customWidth="1"/>
    <col min="5124" max="5124" width="8.21875" customWidth="1"/>
    <col min="5125" max="5125" width="7.33203125" customWidth="1"/>
    <col min="5126" max="5126" width="8.6640625" customWidth="1"/>
    <col min="5127" max="5127" width="10.109375" customWidth="1"/>
    <col min="5128" max="5128" width="9.33203125" customWidth="1"/>
    <col min="5375" max="5375" width="8.21875" customWidth="1"/>
    <col min="5376" max="5376" width="18.44140625" customWidth="1"/>
    <col min="5377" max="5377" width="8.21875" customWidth="1"/>
    <col min="5378" max="5378" width="8" customWidth="1"/>
    <col min="5379" max="5379" width="7.77734375" customWidth="1"/>
    <col min="5380" max="5380" width="8.21875" customWidth="1"/>
    <col min="5381" max="5381" width="7.33203125" customWidth="1"/>
    <col min="5382" max="5382" width="8.6640625" customWidth="1"/>
    <col min="5383" max="5383" width="10.109375" customWidth="1"/>
    <col min="5384" max="5384" width="9.33203125" customWidth="1"/>
    <col min="5631" max="5631" width="8.21875" customWidth="1"/>
    <col min="5632" max="5632" width="18.44140625" customWidth="1"/>
    <col min="5633" max="5633" width="8.21875" customWidth="1"/>
    <col min="5634" max="5634" width="8" customWidth="1"/>
    <col min="5635" max="5635" width="7.77734375" customWidth="1"/>
    <col min="5636" max="5636" width="8.21875" customWidth="1"/>
    <col min="5637" max="5637" width="7.33203125" customWidth="1"/>
    <col min="5638" max="5638" width="8.6640625" customWidth="1"/>
    <col min="5639" max="5639" width="10.109375" customWidth="1"/>
    <col min="5640" max="5640" width="9.33203125" customWidth="1"/>
    <col min="5887" max="5887" width="8.21875" customWidth="1"/>
    <col min="5888" max="5888" width="18.44140625" customWidth="1"/>
    <col min="5889" max="5889" width="8.21875" customWidth="1"/>
    <col min="5890" max="5890" width="8" customWidth="1"/>
    <col min="5891" max="5891" width="7.77734375" customWidth="1"/>
    <col min="5892" max="5892" width="8.21875" customWidth="1"/>
    <col min="5893" max="5893" width="7.33203125" customWidth="1"/>
    <col min="5894" max="5894" width="8.6640625" customWidth="1"/>
    <col min="5895" max="5895" width="10.109375" customWidth="1"/>
    <col min="5896" max="5896" width="9.33203125" customWidth="1"/>
    <col min="6143" max="6143" width="8.21875" customWidth="1"/>
    <col min="6144" max="6144" width="18.44140625" customWidth="1"/>
    <col min="6145" max="6145" width="8.21875" customWidth="1"/>
    <col min="6146" max="6146" width="8" customWidth="1"/>
    <col min="6147" max="6147" width="7.77734375" customWidth="1"/>
    <col min="6148" max="6148" width="8.21875" customWidth="1"/>
    <col min="6149" max="6149" width="7.33203125" customWidth="1"/>
    <col min="6150" max="6150" width="8.6640625" customWidth="1"/>
    <col min="6151" max="6151" width="10.109375" customWidth="1"/>
    <col min="6152" max="6152" width="9.33203125" customWidth="1"/>
    <col min="6399" max="6399" width="8.21875" customWidth="1"/>
    <col min="6400" max="6400" width="18.44140625" customWidth="1"/>
    <col min="6401" max="6401" width="8.21875" customWidth="1"/>
    <col min="6402" max="6402" width="8" customWidth="1"/>
    <col min="6403" max="6403" width="7.77734375" customWidth="1"/>
    <col min="6404" max="6404" width="8.21875" customWidth="1"/>
    <col min="6405" max="6405" width="7.33203125" customWidth="1"/>
    <col min="6406" max="6406" width="8.6640625" customWidth="1"/>
    <col min="6407" max="6407" width="10.109375" customWidth="1"/>
    <col min="6408" max="6408" width="9.33203125" customWidth="1"/>
    <col min="6655" max="6655" width="8.21875" customWidth="1"/>
    <col min="6656" max="6656" width="18.44140625" customWidth="1"/>
    <col min="6657" max="6657" width="8.21875" customWidth="1"/>
    <col min="6658" max="6658" width="8" customWidth="1"/>
    <col min="6659" max="6659" width="7.77734375" customWidth="1"/>
    <col min="6660" max="6660" width="8.21875" customWidth="1"/>
    <col min="6661" max="6661" width="7.33203125" customWidth="1"/>
    <col min="6662" max="6662" width="8.6640625" customWidth="1"/>
    <col min="6663" max="6663" width="10.109375" customWidth="1"/>
    <col min="6664" max="6664" width="9.33203125" customWidth="1"/>
    <col min="6911" max="6911" width="8.21875" customWidth="1"/>
    <col min="6912" max="6912" width="18.44140625" customWidth="1"/>
    <col min="6913" max="6913" width="8.21875" customWidth="1"/>
    <col min="6914" max="6914" width="8" customWidth="1"/>
    <col min="6915" max="6915" width="7.77734375" customWidth="1"/>
    <col min="6916" max="6916" width="8.21875" customWidth="1"/>
    <col min="6917" max="6917" width="7.33203125" customWidth="1"/>
    <col min="6918" max="6918" width="8.6640625" customWidth="1"/>
    <col min="6919" max="6919" width="10.109375" customWidth="1"/>
    <col min="6920" max="6920" width="9.33203125" customWidth="1"/>
    <col min="7167" max="7167" width="8.21875" customWidth="1"/>
    <col min="7168" max="7168" width="18.44140625" customWidth="1"/>
    <col min="7169" max="7169" width="8.21875" customWidth="1"/>
    <col min="7170" max="7170" width="8" customWidth="1"/>
    <col min="7171" max="7171" width="7.77734375" customWidth="1"/>
    <col min="7172" max="7172" width="8.21875" customWidth="1"/>
    <col min="7173" max="7173" width="7.33203125" customWidth="1"/>
    <col min="7174" max="7174" width="8.6640625" customWidth="1"/>
    <col min="7175" max="7175" width="10.109375" customWidth="1"/>
    <col min="7176" max="7176" width="9.33203125" customWidth="1"/>
    <col min="7423" max="7423" width="8.21875" customWidth="1"/>
    <col min="7424" max="7424" width="18.44140625" customWidth="1"/>
    <col min="7425" max="7425" width="8.21875" customWidth="1"/>
    <col min="7426" max="7426" width="8" customWidth="1"/>
    <col min="7427" max="7427" width="7.77734375" customWidth="1"/>
    <col min="7428" max="7428" width="8.21875" customWidth="1"/>
    <col min="7429" max="7429" width="7.33203125" customWidth="1"/>
    <col min="7430" max="7430" width="8.6640625" customWidth="1"/>
    <col min="7431" max="7431" width="10.109375" customWidth="1"/>
    <col min="7432" max="7432" width="9.33203125" customWidth="1"/>
    <col min="7679" max="7679" width="8.21875" customWidth="1"/>
    <col min="7680" max="7680" width="18.44140625" customWidth="1"/>
    <col min="7681" max="7681" width="8.21875" customWidth="1"/>
    <col min="7682" max="7682" width="8" customWidth="1"/>
    <col min="7683" max="7683" width="7.77734375" customWidth="1"/>
    <col min="7684" max="7684" width="8.21875" customWidth="1"/>
    <col min="7685" max="7685" width="7.33203125" customWidth="1"/>
    <col min="7686" max="7686" width="8.6640625" customWidth="1"/>
    <col min="7687" max="7687" width="10.109375" customWidth="1"/>
    <col min="7688" max="7688" width="9.33203125" customWidth="1"/>
    <col min="7935" max="7935" width="8.21875" customWidth="1"/>
    <col min="7936" max="7936" width="18.44140625" customWidth="1"/>
    <col min="7937" max="7937" width="8.21875" customWidth="1"/>
    <col min="7938" max="7938" width="8" customWidth="1"/>
    <col min="7939" max="7939" width="7.77734375" customWidth="1"/>
    <col min="7940" max="7940" width="8.21875" customWidth="1"/>
    <col min="7941" max="7941" width="7.33203125" customWidth="1"/>
    <col min="7942" max="7942" width="8.6640625" customWidth="1"/>
    <col min="7943" max="7943" width="10.109375" customWidth="1"/>
    <col min="7944" max="7944" width="9.33203125" customWidth="1"/>
    <col min="8191" max="8191" width="8.21875" customWidth="1"/>
    <col min="8192" max="8192" width="18.44140625" customWidth="1"/>
    <col min="8193" max="8193" width="8.21875" customWidth="1"/>
    <col min="8194" max="8194" width="8" customWidth="1"/>
    <col min="8195" max="8195" width="7.77734375" customWidth="1"/>
    <col min="8196" max="8196" width="8.21875" customWidth="1"/>
    <col min="8197" max="8197" width="7.33203125" customWidth="1"/>
    <col min="8198" max="8198" width="8.6640625" customWidth="1"/>
    <col min="8199" max="8199" width="10.109375" customWidth="1"/>
    <col min="8200" max="8200" width="9.33203125" customWidth="1"/>
    <col min="8447" max="8447" width="8.21875" customWidth="1"/>
    <col min="8448" max="8448" width="18.44140625" customWidth="1"/>
    <col min="8449" max="8449" width="8.21875" customWidth="1"/>
    <col min="8450" max="8450" width="8" customWidth="1"/>
    <col min="8451" max="8451" width="7.77734375" customWidth="1"/>
    <col min="8452" max="8452" width="8.21875" customWidth="1"/>
    <col min="8453" max="8453" width="7.33203125" customWidth="1"/>
    <col min="8454" max="8454" width="8.6640625" customWidth="1"/>
    <col min="8455" max="8455" width="10.109375" customWidth="1"/>
    <col min="8456" max="8456" width="9.33203125" customWidth="1"/>
    <col min="8703" max="8703" width="8.21875" customWidth="1"/>
    <col min="8704" max="8704" width="18.44140625" customWidth="1"/>
    <col min="8705" max="8705" width="8.21875" customWidth="1"/>
    <col min="8706" max="8706" width="8" customWidth="1"/>
    <col min="8707" max="8707" width="7.77734375" customWidth="1"/>
    <col min="8708" max="8708" width="8.21875" customWidth="1"/>
    <col min="8709" max="8709" width="7.33203125" customWidth="1"/>
    <col min="8710" max="8710" width="8.6640625" customWidth="1"/>
    <col min="8711" max="8711" width="10.109375" customWidth="1"/>
    <col min="8712" max="8712" width="9.33203125" customWidth="1"/>
    <col min="8959" max="8959" width="8.21875" customWidth="1"/>
    <col min="8960" max="8960" width="18.44140625" customWidth="1"/>
    <col min="8961" max="8961" width="8.21875" customWidth="1"/>
    <col min="8962" max="8962" width="8" customWidth="1"/>
    <col min="8963" max="8963" width="7.77734375" customWidth="1"/>
    <col min="8964" max="8964" width="8.21875" customWidth="1"/>
    <col min="8965" max="8965" width="7.33203125" customWidth="1"/>
    <col min="8966" max="8966" width="8.6640625" customWidth="1"/>
    <col min="8967" max="8967" width="10.109375" customWidth="1"/>
    <col min="8968" max="8968" width="9.33203125" customWidth="1"/>
    <col min="9215" max="9215" width="8.21875" customWidth="1"/>
    <col min="9216" max="9216" width="18.44140625" customWidth="1"/>
    <col min="9217" max="9217" width="8.21875" customWidth="1"/>
    <col min="9218" max="9218" width="8" customWidth="1"/>
    <col min="9219" max="9219" width="7.77734375" customWidth="1"/>
    <col min="9220" max="9220" width="8.21875" customWidth="1"/>
    <col min="9221" max="9221" width="7.33203125" customWidth="1"/>
    <col min="9222" max="9222" width="8.6640625" customWidth="1"/>
    <col min="9223" max="9223" width="10.109375" customWidth="1"/>
    <col min="9224" max="9224" width="9.33203125" customWidth="1"/>
    <col min="9471" max="9471" width="8.21875" customWidth="1"/>
    <col min="9472" max="9472" width="18.44140625" customWidth="1"/>
    <col min="9473" max="9473" width="8.21875" customWidth="1"/>
    <col min="9474" max="9474" width="8" customWidth="1"/>
    <col min="9475" max="9475" width="7.77734375" customWidth="1"/>
    <col min="9476" max="9476" width="8.21875" customWidth="1"/>
    <col min="9477" max="9477" width="7.33203125" customWidth="1"/>
    <col min="9478" max="9478" width="8.6640625" customWidth="1"/>
    <col min="9479" max="9479" width="10.109375" customWidth="1"/>
    <col min="9480" max="9480" width="9.33203125" customWidth="1"/>
    <col min="9727" max="9727" width="8.21875" customWidth="1"/>
    <col min="9728" max="9728" width="18.44140625" customWidth="1"/>
    <col min="9729" max="9729" width="8.21875" customWidth="1"/>
    <col min="9730" max="9730" width="8" customWidth="1"/>
    <col min="9731" max="9731" width="7.77734375" customWidth="1"/>
    <col min="9732" max="9732" width="8.21875" customWidth="1"/>
    <col min="9733" max="9733" width="7.33203125" customWidth="1"/>
    <col min="9734" max="9734" width="8.6640625" customWidth="1"/>
    <col min="9735" max="9735" width="10.109375" customWidth="1"/>
    <col min="9736" max="9736" width="9.33203125" customWidth="1"/>
    <col min="9983" max="9983" width="8.21875" customWidth="1"/>
    <col min="9984" max="9984" width="18.44140625" customWidth="1"/>
    <col min="9985" max="9985" width="8.21875" customWidth="1"/>
    <col min="9986" max="9986" width="8" customWidth="1"/>
    <col min="9987" max="9987" width="7.77734375" customWidth="1"/>
    <col min="9988" max="9988" width="8.21875" customWidth="1"/>
    <col min="9989" max="9989" width="7.33203125" customWidth="1"/>
    <col min="9990" max="9990" width="8.6640625" customWidth="1"/>
    <col min="9991" max="9991" width="10.109375" customWidth="1"/>
    <col min="9992" max="9992" width="9.33203125" customWidth="1"/>
    <col min="10239" max="10239" width="8.21875" customWidth="1"/>
    <col min="10240" max="10240" width="18.44140625" customWidth="1"/>
    <col min="10241" max="10241" width="8.21875" customWidth="1"/>
    <col min="10242" max="10242" width="8" customWidth="1"/>
    <col min="10243" max="10243" width="7.77734375" customWidth="1"/>
    <col min="10244" max="10244" width="8.21875" customWidth="1"/>
    <col min="10245" max="10245" width="7.33203125" customWidth="1"/>
    <col min="10246" max="10246" width="8.6640625" customWidth="1"/>
    <col min="10247" max="10247" width="10.109375" customWidth="1"/>
    <col min="10248" max="10248" width="9.33203125" customWidth="1"/>
    <col min="10495" max="10495" width="8.21875" customWidth="1"/>
    <col min="10496" max="10496" width="18.44140625" customWidth="1"/>
    <col min="10497" max="10497" width="8.21875" customWidth="1"/>
    <col min="10498" max="10498" width="8" customWidth="1"/>
    <col min="10499" max="10499" width="7.77734375" customWidth="1"/>
    <col min="10500" max="10500" width="8.21875" customWidth="1"/>
    <col min="10501" max="10501" width="7.33203125" customWidth="1"/>
    <col min="10502" max="10502" width="8.6640625" customWidth="1"/>
    <col min="10503" max="10503" width="10.109375" customWidth="1"/>
    <col min="10504" max="10504" width="9.33203125" customWidth="1"/>
    <col min="10751" max="10751" width="8.21875" customWidth="1"/>
    <col min="10752" max="10752" width="18.44140625" customWidth="1"/>
    <col min="10753" max="10753" width="8.21875" customWidth="1"/>
    <col min="10754" max="10754" width="8" customWidth="1"/>
    <col min="10755" max="10755" width="7.77734375" customWidth="1"/>
    <col min="10756" max="10756" width="8.21875" customWidth="1"/>
    <col min="10757" max="10757" width="7.33203125" customWidth="1"/>
    <col min="10758" max="10758" width="8.6640625" customWidth="1"/>
    <col min="10759" max="10759" width="10.109375" customWidth="1"/>
    <col min="10760" max="10760" width="9.33203125" customWidth="1"/>
    <col min="11007" max="11007" width="8.21875" customWidth="1"/>
    <col min="11008" max="11008" width="18.44140625" customWidth="1"/>
    <col min="11009" max="11009" width="8.21875" customWidth="1"/>
    <col min="11010" max="11010" width="8" customWidth="1"/>
    <col min="11011" max="11011" width="7.77734375" customWidth="1"/>
    <col min="11012" max="11012" width="8.21875" customWidth="1"/>
    <col min="11013" max="11013" width="7.33203125" customWidth="1"/>
    <col min="11014" max="11014" width="8.6640625" customWidth="1"/>
    <col min="11015" max="11015" width="10.109375" customWidth="1"/>
    <col min="11016" max="11016" width="9.33203125" customWidth="1"/>
    <col min="11263" max="11263" width="8.21875" customWidth="1"/>
    <col min="11264" max="11264" width="18.44140625" customWidth="1"/>
    <col min="11265" max="11265" width="8.21875" customWidth="1"/>
    <col min="11266" max="11266" width="8" customWidth="1"/>
    <col min="11267" max="11267" width="7.77734375" customWidth="1"/>
    <col min="11268" max="11268" width="8.21875" customWidth="1"/>
    <col min="11269" max="11269" width="7.33203125" customWidth="1"/>
    <col min="11270" max="11270" width="8.6640625" customWidth="1"/>
    <col min="11271" max="11271" width="10.109375" customWidth="1"/>
    <col min="11272" max="11272" width="9.33203125" customWidth="1"/>
    <col min="11519" max="11519" width="8.21875" customWidth="1"/>
    <col min="11520" max="11520" width="18.44140625" customWidth="1"/>
    <col min="11521" max="11521" width="8.21875" customWidth="1"/>
    <col min="11522" max="11522" width="8" customWidth="1"/>
    <col min="11523" max="11523" width="7.77734375" customWidth="1"/>
    <col min="11524" max="11524" width="8.21875" customWidth="1"/>
    <col min="11525" max="11525" width="7.33203125" customWidth="1"/>
    <col min="11526" max="11526" width="8.6640625" customWidth="1"/>
    <col min="11527" max="11527" width="10.109375" customWidth="1"/>
    <col min="11528" max="11528" width="9.33203125" customWidth="1"/>
    <col min="11775" max="11775" width="8.21875" customWidth="1"/>
    <col min="11776" max="11776" width="18.44140625" customWidth="1"/>
    <col min="11777" max="11777" width="8.21875" customWidth="1"/>
    <col min="11778" max="11778" width="8" customWidth="1"/>
    <col min="11779" max="11779" width="7.77734375" customWidth="1"/>
    <col min="11780" max="11780" width="8.21875" customWidth="1"/>
    <col min="11781" max="11781" width="7.33203125" customWidth="1"/>
    <col min="11782" max="11782" width="8.6640625" customWidth="1"/>
    <col min="11783" max="11783" width="10.109375" customWidth="1"/>
    <col min="11784" max="11784" width="9.33203125" customWidth="1"/>
    <col min="12031" max="12031" width="8.21875" customWidth="1"/>
    <col min="12032" max="12032" width="18.44140625" customWidth="1"/>
    <col min="12033" max="12033" width="8.21875" customWidth="1"/>
    <col min="12034" max="12034" width="8" customWidth="1"/>
    <col min="12035" max="12035" width="7.77734375" customWidth="1"/>
    <col min="12036" max="12036" width="8.21875" customWidth="1"/>
    <col min="12037" max="12037" width="7.33203125" customWidth="1"/>
    <col min="12038" max="12038" width="8.6640625" customWidth="1"/>
    <col min="12039" max="12039" width="10.109375" customWidth="1"/>
    <col min="12040" max="12040" width="9.33203125" customWidth="1"/>
    <col min="12287" max="12287" width="8.21875" customWidth="1"/>
    <col min="12288" max="12288" width="18.44140625" customWidth="1"/>
    <col min="12289" max="12289" width="8.21875" customWidth="1"/>
    <col min="12290" max="12290" width="8" customWidth="1"/>
    <col min="12291" max="12291" width="7.77734375" customWidth="1"/>
    <col min="12292" max="12292" width="8.21875" customWidth="1"/>
    <col min="12293" max="12293" width="7.33203125" customWidth="1"/>
    <col min="12294" max="12294" width="8.6640625" customWidth="1"/>
    <col min="12295" max="12295" width="10.109375" customWidth="1"/>
    <col min="12296" max="12296" width="9.33203125" customWidth="1"/>
    <col min="12543" max="12543" width="8.21875" customWidth="1"/>
    <col min="12544" max="12544" width="18.44140625" customWidth="1"/>
    <col min="12545" max="12545" width="8.21875" customWidth="1"/>
    <col min="12546" max="12546" width="8" customWidth="1"/>
    <col min="12547" max="12547" width="7.77734375" customWidth="1"/>
    <col min="12548" max="12548" width="8.21875" customWidth="1"/>
    <col min="12549" max="12549" width="7.33203125" customWidth="1"/>
    <col min="12550" max="12550" width="8.6640625" customWidth="1"/>
    <col min="12551" max="12551" width="10.109375" customWidth="1"/>
    <col min="12552" max="12552" width="9.33203125" customWidth="1"/>
    <col min="12799" max="12799" width="8.21875" customWidth="1"/>
    <col min="12800" max="12800" width="18.44140625" customWidth="1"/>
    <col min="12801" max="12801" width="8.21875" customWidth="1"/>
    <col min="12802" max="12802" width="8" customWidth="1"/>
    <col min="12803" max="12803" width="7.77734375" customWidth="1"/>
    <col min="12804" max="12804" width="8.21875" customWidth="1"/>
    <col min="12805" max="12805" width="7.33203125" customWidth="1"/>
    <col min="12806" max="12806" width="8.6640625" customWidth="1"/>
    <col min="12807" max="12807" width="10.109375" customWidth="1"/>
    <col min="12808" max="12808" width="9.33203125" customWidth="1"/>
    <col min="13055" max="13055" width="8.21875" customWidth="1"/>
    <col min="13056" max="13056" width="18.44140625" customWidth="1"/>
    <col min="13057" max="13057" width="8.21875" customWidth="1"/>
    <col min="13058" max="13058" width="8" customWidth="1"/>
    <col min="13059" max="13059" width="7.77734375" customWidth="1"/>
    <col min="13060" max="13060" width="8.21875" customWidth="1"/>
    <col min="13061" max="13061" width="7.33203125" customWidth="1"/>
    <col min="13062" max="13062" width="8.6640625" customWidth="1"/>
    <col min="13063" max="13063" width="10.109375" customWidth="1"/>
    <col min="13064" max="13064" width="9.33203125" customWidth="1"/>
    <col min="13311" max="13311" width="8.21875" customWidth="1"/>
    <col min="13312" max="13312" width="18.44140625" customWidth="1"/>
    <col min="13313" max="13313" width="8.21875" customWidth="1"/>
    <col min="13314" max="13314" width="8" customWidth="1"/>
    <col min="13315" max="13315" width="7.77734375" customWidth="1"/>
    <col min="13316" max="13316" width="8.21875" customWidth="1"/>
    <col min="13317" max="13317" width="7.33203125" customWidth="1"/>
    <col min="13318" max="13318" width="8.6640625" customWidth="1"/>
    <col min="13319" max="13319" width="10.109375" customWidth="1"/>
    <col min="13320" max="13320" width="9.33203125" customWidth="1"/>
    <col min="13567" max="13567" width="8.21875" customWidth="1"/>
    <col min="13568" max="13568" width="18.44140625" customWidth="1"/>
    <col min="13569" max="13569" width="8.21875" customWidth="1"/>
    <col min="13570" max="13570" width="8" customWidth="1"/>
    <col min="13571" max="13571" width="7.77734375" customWidth="1"/>
    <col min="13572" max="13572" width="8.21875" customWidth="1"/>
    <col min="13573" max="13573" width="7.33203125" customWidth="1"/>
    <col min="13574" max="13574" width="8.6640625" customWidth="1"/>
    <col min="13575" max="13575" width="10.109375" customWidth="1"/>
    <col min="13576" max="13576" width="9.33203125" customWidth="1"/>
    <col min="13823" max="13823" width="8.21875" customWidth="1"/>
    <col min="13824" max="13824" width="18.44140625" customWidth="1"/>
    <col min="13825" max="13825" width="8.21875" customWidth="1"/>
    <col min="13826" max="13826" width="8" customWidth="1"/>
    <col min="13827" max="13827" width="7.77734375" customWidth="1"/>
    <col min="13828" max="13828" width="8.21875" customWidth="1"/>
    <col min="13829" max="13829" width="7.33203125" customWidth="1"/>
    <col min="13830" max="13830" width="8.6640625" customWidth="1"/>
    <col min="13831" max="13831" width="10.109375" customWidth="1"/>
    <col min="13832" max="13832" width="9.33203125" customWidth="1"/>
    <col min="14079" max="14079" width="8.21875" customWidth="1"/>
    <col min="14080" max="14080" width="18.44140625" customWidth="1"/>
    <col min="14081" max="14081" width="8.21875" customWidth="1"/>
    <col min="14082" max="14082" width="8" customWidth="1"/>
    <col min="14083" max="14083" width="7.77734375" customWidth="1"/>
    <col min="14084" max="14084" width="8.21875" customWidth="1"/>
    <col min="14085" max="14085" width="7.33203125" customWidth="1"/>
    <col min="14086" max="14086" width="8.6640625" customWidth="1"/>
    <col min="14087" max="14087" width="10.109375" customWidth="1"/>
    <col min="14088" max="14088" width="9.33203125" customWidth="1"/>
    <col min="14335" max="14335" width="8.21875" customWidth="1"/>
    <col min="14336" max="14336" width="18.44140625" customWidth="1"/>
    <col min="14337" max="14337" width="8.21875" customWidth="1"/>
    <col min="14338" max="14338" width="8" customWidth="1"/>
    <col min="14339" max="14339" width="7.77734375" customWidth="1"/>
    <col min="14340" max="14340" width="8.21875" customWidth="1"/>
    <col min="14341" max="14341" width="7.33203125" customWidth="1"/>
    <col min="14342" max="14342" width="8.6640625" customWidth="1"/>
    <col min="14343" max="14343" width="10.109375" customWidth="1"/>
    <col min="14344" max="14344" width="9.33203125" customWidth="1"/>
    <col min="14591" max="14591" width="8.21875" customWidth="1"/>
    <col min="14592" max="14592" width="18.44140625" customWidth="1"/>
    <col min="14593" max="14593" width="8.21875" customWidth="1"/>
    <col min="14594" max="14594" width="8" customWidth="1"/>
    <col min="14595" max="14595" width="7.77734375" customWidth="1"/>
    <col min="14596" max="14596" width="8.21875" customWidth="1"/>
    <col min="14597" max="14597" width="7.33203125" customWidth="1"/>
    <col min="14598" max="14598" width="8.6640625" customWidth="1"/>
    <col min="14599" max="14599" width="10.109375" customWidth="1"/>
    <col min="14600" max="14600" width="9.33203125" customWidth="1"/>
    <col min="14847" max="14847" width="8.21875" customWidth="1"/>
    <col min="14848" max="14848" width="18.44140625" customWidth="1"/>
    <col min="14849" max="14849" width="8.21875" customWidth="1"/>
    <col min="14850" max="14850" width="8" customWidth="1"/>
    <col min="14851" max="14851" width="7.77734375" customWidth="1"/>
    <col min="14852" max="14852" width="8.21875" customWidth="1"/>
    <col min="14853" max="14853" width="7.33203125" customWidth="1"/>
    <col min="14854" max="14854" width="8.6640625" customWidth="1"/>
    <col min="14855" max="14855" width="10.109375" customWidth="1"/>
    <col min="14856" max="14856" width="9.33203125" customWidth="1"/>
    <col min="15103" max="15103" width="8.21875" customWidth="1"/>
    <col min="15104" max="15104" width="18.44140625" customWidth="1"/>
    <col min="15105" max="15105" width="8.21875" customWidth="1"/>
    <col min="15106" max="15106" width="8" customWidth="1"/>
    <col min="15107" max="15107" width="7.77734375" customWidth="1"/>
    <col min="15108" max="15108" width="8.21875" customWidth="1"/>
    <col min="15109" max="15109" width="7.33203125" customWidth="1"/>
    <col min="15110" max="15110" width="8.6640625" customWidth="1"/>
    <col min="15111" max="15111" width="10.109375" customWidth="1"/>
    <col min="15112" max="15112" width="9.33203125" customWidth="1"/>
    <col min="15359" max="15359" width="8.21875" customWidth="1"/>
    <col min="15360" max="15360" width="18.44140625" customWidth="1"/>
    <col min="15361" max="15361" width="8.21875" customWidth="1"/>
    <col min="15362" max="15362" width="8" customWidth="1"/>
    <col min="15363" max="15363" width="7.77734375" customWidth="1"/>
    <col min="15364" max="15364" width="8.21875" customWidth="1"/>
    <col min="15365" max="15365" width="7.33203125" customWidth="1"/>
    <col min="15366" max="15366" width="8.6640625" customWidth="1"/>
    <col min="15367" max="15367" width="10.109375" customWidth="1"/>
    <col min="15368" max="15368" width="9.33203125" customWidth="1"/>
    <col min="15615" max="15615" width="8.21875" customWidth="1"/>
    <col min="15616" max="15616" width="18.44140625" customWidth="1"/>
    <col min="15617" max="15617" width="8.21875" customWidth="1"/>
    <col min="15618" max="15618" width="8" customWidth="1"/>
    <col min="15619" max="15619" width="7.77734375" customWidth="1"/>
    <col min="15620" max="15620" width="8.21875" customWidth="1"/>
    <col min="15621" max="15621" width="7.33203125" customWidth="1"/>
    <col min="15622" max="15622" width="8.6640625" customWidth="1"/>
    <col min="15623" max="15623" width="10.109375" customWidth="1"/>
    <col min="15624" max="15624" width="9.33203125" customWidth="1"/>
    <col min="15871" max="15871" width="8.21875" customWidth="1"/>
    <col min="15872" max="15872" width="18.44140625" customWidth="1"/>
    <col min="15873" max="15873" width="8.21875" customWidth="1"/>
    <col min="15874" max="15874" width="8" customWidth="1"/>
    <col min="15875" max="15875" width="7.77734375" customWidth="1"/>
    <col min="15876" max="15876" width="8.21875" customWidth="1"/>
    <col min="15877" max="15877" width="7.33203125" customWidth="1"/>
    <col min="15878" max="15878" width="8.6640625" customWidth="1"/>
    <col min="15879" max="15879" width="10.109375" customWidth="1"/>
    <col min="15880" max="15880" width="9.33203125" customWidth="1"/>
    <col min="16127" max="16127" width="8.21875" customWidth="1"/>
    <col min="16128" max="16128" width="18.44140625" customWidth="1"/>
    <col min="16129" max="16129" width="8.21875" customWidth="1"/>
    <col min="16130" max="16130" width="8" customWidth="1"/>
    <col min="16131" max="16131" width="7.77734375" customWidth="1"/>
    <col min="16132" max="16132" width="8.21875" customWidth="1"/>
    <col min="16133" max="16133" width="7.33203125" customWidth="1"/>
    <col min="16134" max="16134" width="8.6640625" customWidth="1"/>
    <col min="16135" max="16135" width="10.109375" customWidth="1"/>
    <col min="16136" max="16136" width="9.33203125" customWidth="1"/>
  </cols>
  <sheetData>
    <row r="1" spans="1:12" s="188" customFormat="1" ht="25.5" customHeight="1">
      <c r="A1" s="267" t="s">
        <v>508</v>
      </c>
      <c r="B1" s="267"/>
      <c r="C1" s="267"/>
      <c r="D1" s="267"/>
      <c r="E1" s="267"/>
      <c r="F1" s="267"/>
      <c r="G1" s="267"/>
      <c r="H1" s="267"/>
      <c r="I1" s="267"/>
      <c r="K1" s="252"/>
      <c r="L1" s="252"/>
    </row>
    <row r="2" spans="1:12" s="188" customFormat="1" ht="32.25" customHeight="1">
      <c r="A2" s="267" t="s">
        <v>0</v>
      </c>
      <c r="B2" s="267"/>
      <c r="C2" s="267"/>
      <c r="D2" s="267"/>
      <c r="E2" s="267"/>
      <c r="F2" s="267"/>
      <c r="G2" s="267"/>
      <c r="H2" s="267"/>
      <c r="I2" s="267"/>
      <c r="K2" s="252"/>
      <c r="L2" s="252"/>
    </row>
    <row r="3" spans="1:12" s="188" customFormat="1" ht="32.25" customHeight="1">
      <c r="A3" s="274"/>
      <c r="B3" s="275"/>
      <c r="C3" s="275"/>
      <c r="D3" s="275"/>
      <c r="E3" s="275"/>
      <c r="F3" s="275"/>
      <c r="G3" s="275"/>
      <c r="H3" s="275"/>
      <c r="I3" s="275"/>
      <c r="K3" s="252"/>
      <c r="L3" s="252"/>
    </row>
    <row r="4" spans="1:12" s="188" customFormat="1" ht="27" customHeight="1">
      <c r="A4" s="273" t="s">
        <v>496</v>
      </c>
      <c r="B4" s="273"/>
      <c r="C4" s="273"/>
      <c r="D4" s="273"/>
      <c r="E4" s="273"/>
      <c r="F4" s="273"/>
      <c r="G4" s="273"/>
      <c r="H4" s="273"/>
      <c r="I4" s="273"/>
      <c r="K4" s="252"/>
      <c r="L4" s="252"/>
    </row>
    <row r="5" spans="1:12" s="34" customFormat="1" ht="21.75" customHeight="1">
      <c r="A5" s="265" t="s">
        <v>1</v>
      </c>
      <c r="B5" s="265" t="s">
        <v>2</v>
      </c>
      <c r="C5" s="268" t="s">
        <v>3</v>
      </c>
      <c r="D5" s="269"/>
      <c r="E5" s="269"/>
      <c r="F5" s="269"/>
      <c r="G5" s="270"/>
      <c r="H5" s="271" t="s">
        <v>4</v>
      </c>
      <c r="I5" s="272"/>
      <c r="J5" s="68"/>
      <c r="K5" s="253"/>
      <c r="L5" s="253"/>
    </row>
    <row r="6" spans="1:12" s="34" customFormat="1" ht="75">
      <c r="A6" s="266"/>
      <c r="B6" s="266"/>
      <c r="C6" s="161" t="s">
        <v>5</v>
      </c>
      <c r="D6" s="36" t="s">
        <v>6</v>
      </c>
      <c r="E6" s="36" t="s">
        <v>7</v>
      </c>
      <c r="F6" s="36" t="s">
        <v>8</v>
      </c>
      <c r="G6" s="36" t="s">
        <v>9</v>
      </c>
      <c r="H6" s="161" t="s">
        <v>10</v>
      </c>
      <c r="I6" s="69" t="s">
        <v>11</v>
      </c>
      <c r="J6" s="251"/>
      <c r="K6" s="253"/>
      <c r="L6" s="253"/>
    </row>
    <row r="7" spans="1:12" s="71" customFormat="1" ht="21" customHeight="1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 t="s">
        <v>12</v>
      </c>
      <c r="H7" s="37" t="s">
        <v>13</v>
      </c>
      <c r="I7" s="70" t="s">
        <v>14</v>
      </c>
      <c r="K7" s="254"/>
      <c r="L7" s="254"/>
    </row>
    <row r="8" spans="1:12" s="34" customFormat="1" ht="21.6" customHeight="1">
      <c r="A8" s="259" t="s">
        <v>15</v>
      </c>
      <c r="B8" s="260"/>
      <c r="C8" s="260"/>
      <c r="D8" s="260"/>
      <c r="E8" s="260"/>
      <c r="F8" s="260"/>
      <c r="G8" s="260"/>
      <c r="H8" s="261"/>
      <c r="I8" s="72"/>
      <c r="J8" s="68"/>
      <c r="K8" s="253"/>
      <c r="L8" s="253"/>
    </row>
    <row r="9" spans="1:12" s="34" customFormat="1" ht="40.5" customHeight="1">
      <c r="A9" s="73">
        <v>1</v>
      </c>
      <c r="B9" s="74" t="s">
        <v>16</v>
      </c>
      <c r="C9" s="75">
        <f>'Biểu số 3-công'!F6</f>
        <v>64052.713636363638</v>
      </c>
      <c r="D9" s="75"/>
      <c r="E9" s="75">
        <f>'Biểu số 5- Đơngiá vật tư, nlieu'!F20</f>
        <v>47107.1</v>
      </c>
      <c r="F9" s="75">
        <f>'Biểu số 5- Đơngiá vật tư, nlieu'!F25</f>
        <v>58500</v>
      </c>
      <c r="G9" s="38">
        <f t="shared" ref="G9:G14" si="0">+C9+D9+E9+F9</f>
        <v>169659.81363636363</v>
      </c>
      <c r="H9" s="76">
        <f t="shared" ref="H9:H14" si="1">G9-D9</f>
        <v>169659.81363636363</v>
      </c>
      <c r="I9" s="77">
        <f>G9</f>
        <v>169659.81363636363</v>
      </c>
      <c r="J9" s="78"/>
      <c r="K9" s="253"/>
      <c r="L9" s="253"/>
    </row>
    <row r="10" spans="1:12" s="34" customFormat="1" ht="27.75" customHeight="1">
      <c r="A10" s="73">
        <v>2</v>
      </c>
      <c r="B10" s="79" t="s">
        <v>17</v>
      </c>
      <c r="C10" s="75">
        <f>'Biểu số 3-công'!F9</f>
        <v>118010.98636363637</v>
      </c>
      <c r="D10" s="75"/>
      <c r="E10" s="75">
        <f>'Biểu số 5- Đơngiá vật tư, nlieu'!F40</f>
        <v>32647.34</v>
      </c>
      <c r="F10" s="75">
        <f>'Biểu số 5- Đơngiá vật tư, nlieu'!F45</f>
        <v>168852</v>
      </c>
      <c r="G10" s="38">
        <f t="shared" si="0"/>
        <v>319510.32636363641</v>
      </c>
      <c r="H10" s="76">
        <f t="shared" si="1"/>
        <v>319510.32636363641</v>
      </c>
      <c r="I10" s="77">
        <f t="shared" ref="I10:I28" si="2">G10</f>
        <v>319510.32636363641</v>
      </c>
      <c r="J10" s="78"/>
      <c r="K10" s="253"/>
      <c r="L10" s="253"/>
    </row>
    <row r="11" spans="1:12" s="34" customFormat="1" ht="21.6" customHeight="1">
      <c r="A11" s="73">
        <v>3</v>
      </c>
      <c r="B11" s="80" t="s">
        <v>18</v>
      </c>
      <c r="C11" s="75">
        <f>'Biểu số 3-công'!F12</f>
        <v>118010.98636363637</v>
      </c>
      <c r="D11" s="75"/>
      <c r="E11" s="75">
        <f>'Biểu số 5- Đơngiá vật tư, nlieu'!F60</f>
        <v>33647.339999999997</v>
      </c>
      <c r="F11" s="75">
        <f>'Biểu số 5- Đơngiá vật tư, nlieu'!F65</f>
        <v>113676</v>
      </c>
      <c r="G11" s="38">
        <f t="shared" si="0"/>
        <v>265334.32636363636</v>
      </c>
      <c r="H11" s="76">
        <f t="shared" si="1"/>
        <v>265334.32636363636</v>
      </c>
      <c r="I11" s="77">
        <f t="shared" si="2"/>
        <v>265334.32636363636</v>
      </c>
      <c r="J11" s="78"/>
      <c r="K11" s="253"/>
      <c r="L11" s="253"/>
    </row>
    <row r="12" spans="1:12" s="34" customFormat="1" ht="35.25" customHeight="1">
      <c r="A12" s="73">
        <v>4</v>
      </c>
      <c r="B12" s="81" t="s">
        <v>19</v>
      </c>
      <c r="C12" s="75">
        <f>'Biểu số 3-công'!F15</f>
        <v>96427.677272727393</v>
      </c>
      <c r="D12" s="75"/>
      <c r="E12" s="75">
        <f>'Biểu số 5- Đơngiá vật tư, nlieu'!F80</f>
        <v>32647.34</v>
      </c>
      <c r="F12" s="75">
        <f>'Biểu số 5- Đơngiá vật tư, nlieu'!F85</f>
        <v>168852</v>
      </c>
      <c r="G12" s="38">
        <f t="shared" si="0"/>
        <v>297927.01727272739</v>
      </c>
      <c r="H12" s="76">
        <f t="shared" si="1"/>
        <v>297927.01727272739</v>
      </c>
      <c r="I12" s="77">
        <f t="shared" si="2"/>
        <v>297927.01727272739</v>
      </c>
      <c r="J12" s="78"/>
      <c r="K12" s="253"/>
      <c r="L12" s="253"/>
    </row>
    <row r="13" spans="1:12" s="34" customFormat="1" ht="21.6" customHeight="1">
      <c r="A13" s="73">
        <v>5</v>
      </c>
      <c r="B13" s="80" t="s">
        <v>20</v>
      </c>
      <c r="C13" s="75">
        <f>'Biểu số 3-công'!F18</f>
        <v>182760.91363636366</v>
      </c>
      <c r="D13" s="75">
        <f>+'Biểu số 4-Đơn giá máy móc'!I12</f>
        <v>811.30136986301375</v>
      </c>
      <c r="E13" s="75">
        <f>'Biểu số 5- Đơngiá vật tư, nlieu'!F100</f>
        <v>88538</v>
      </c>
      <c r="F13" s="75">
        <f>'Biểu số 5- Đơngiá vật tư, nlieu'!F105</f>
        <v>141264</v>
      </c>
      <c r="G13" s="38">
        <f t="shared" si="0"/>
        <v>413374.21500622667</v>
      </c>
      <c r="H13" s="76">
        <f t="shared" si="1"/>
        <v>412562.91363636364</v>
      </c>
      <c r="I13" s="77">
        <f t="shared" si="2"/>
        <v>413374.21500622667</v>
      </c>
      <c r="J13" s="78"/>
      <c r="K13" s="253"/>
      <c r="L13" s="253"/>
    </row>
    <row r="14" spans="1:12" s="34" customFormat="1" ht="29.25" customHeight="1">
      <c r="A14" s="73">
        <v>6</v>
      </c>
      <c r="B14" s="81" t="s">
        <v>21</v>
      </c>
      <c r="C14" s="75">
        <f>'Biểu số 3-công'!F21</f>
        <v>390692.25</v>
      </c>
      <c r="D14" s="75">
        <f>'Biểu số 4-Đơn giá máy móc'!I28</f>
        <v>82507.263698630108</v>
      </c>
      <c r="E14" s="75">
        <f>'Biểu số 5- Đơngiá vật tư, nlieu'!F123</f>
        <v>186991</v>
      </c>
      <c r="F14" s="75">
        <f>'Biểu số 5- Đơngiá vật tư, nlieu'!F127</f>
        <v>171335</v>
      </c>
      <c r="G14" s="38">
        <f t="shared" si="0"/>
        <v>831525.51369863003</v>
      </c>
      <c r="H14" s="76">
        <f t="shared" si="1"/>
        <v>749018.24999999988</v>
      </c>
      <c r="I14" s="77">
        <f t="shared" si="2"/>
        <v>831525.51369863003</v>
      </c>
      <c r="J14" s="78"/>
      <c r="K14" s="253"/>
      <c r="L14" s="253"/>
    </row>
    <row r="15" spans="1:12" s="34" customFormat="1" ht="21.6" customHeight="1">
      <c r="A15" s="262" t="s">
        <v>22</v>
      </c>
      <c r="B15" s="263"/>
      <c r="C15" s="263"/>
      <c r="D15" s="263"/>
      <c r="E15" s="263"/>
      <c r="F15" s="263"/>
      <c r="G15" s="263"/>
      <c r="H15" s="264"/>
      <c r="I15" s="77"/>
      <c r="J15" s="78"/>
      <c r="K15" s="253"/>
      <c r="L15" s="253"/>
    </row>
    <row r="16" spans="1:12" s="34" customFormat="1" ht="123.75" customHeight="1">
      <c r="A16" s="73">
        <v>1</v>
      </c>
      <c r="B16" s="74" t="s">
        <v>23</v>
      </c>
      <c r="C16" s="82">
        <f>'Biểu số 3-công'!F26</f>
        <v>1176866.3045454547</v>
      </c>
      <c r="D16" s="83">
        <f>'Biểu số 4-Đơn giá máy móc'!I42</f>
        <v>34937.602739726026</v>
      </c>
      <c r="E16" s="82">
        <f>'Biểu số 5- Đơngiá vật tư, nlieu'!F140:F140+'Biểu số 5- Đơngiá vật tư, nlieu'!F147</f>
        <v>5123360</v>
      </c>
      <c r="F16" s="82">
        <f>'Biểu số 5- Đơngiá vật tư, nlieu'!F144</f>
        <v>25620.3</v>
      </c>
      <c r="G16" s="39">
        <f t="shared" ref="G16:G28" si="3">SUM(C16:F16)</f>
        <v>6360784.2072851807</v>
      </c>
      <c r="H16" s="76">
        <f t="shared" ref="H16:H28" si="4">G16-D16</f>
        <v>6325846.6045454545</v>
      </c>
      <c r="I16" s="77">
        <f t="shared" si="2"/>
        <v>6360784.2072851807</v>
      </c>
      <c r="J16" s="78"/>
      <c r="K16" s="255"/>
      <c r="L16" s="253"/>
    </row>
    <row r="17" spans="1:12" s="34" customFormat="1" ht="37.5">
      <c r="A17" s="73">
        <v>2</v>
      </c>
      <c r="B17" s="74" t="s">
        <v>24</v>
      </c>
      <c r="C17" s="82">
        <f>'Biểu số 3-công'!F29</f>
        <v>1446657.6681818184</v>
      </c>
      <c r="D17" s="83">
        <f>'Biểu số 4-Đơn giá máy móc'!I55</f>
        <v>46954.041095890418</v>
      </c>
      <c r="E17" s="82">
        <f>'Biểu số 5- Đơngiá vật tư, nlieu'!F140+'Biểu số 5- Đơngiá vật tư, nlieu'!F148</f>
        <v>4123360</v>
      </c>
      <c r="F17" s="82">
        <f>'Biểu số 5- Đơngiá vật tư, nlieu'!F144</f>
        <v>25620.3</v>
      </c>
      <c r="G17" s="39">
        <f t="shared" si="3"/>
        <v>5642592.0092777088</v>
      </c>
      <c r="H17" s="76">
        <f t="shared" si="4"/>
        <v>5595637.9681818187</v>
      </c>
      <c r="I17" s="77">
        <f t="shared" si="2"/>
        <v>5642592.0092777088</v>
      </c>
      <c r="J17" s="78"/>
      <c r="K17" s="253"/>
      <c r="L17" s="253"/>
    </row>
    <row r="18" spans="1:12" s="34" customFormat="1" ht="58.5" customHeight="1">
      <c r="A18" s="73">
        <v>3</v>
      </c>
      <c r="B18" s="74" t="s">
        <v>25</v>
      </c>
      <c r="C18" s="82">
        <f>'Biểu số 3-công'!F32</f>
        <v>1986240.3954545455</v>
      </c>
      <c r="D18" s="83">
        <f>'Biểu số 4-Đơn giá máy móc'!I68</f>
        <v>61091.027397260281</v>
      </c>
      <c r="E18" s="82">
        <f>'Biểu số 5- Đơngiá vật tư, nlieu'!F140+'Biểu số 5- Đơngiá vật tư, nlieu'!F149</f>
        <v>10123360</v>
      </c>
      <c r="F18" s="82">
        <f>'Biểu số 5- Đơngiá vật tư, nlieu'!F144</f>
        <v>25620.3</v>
      </c>
      <c r="G18" s="39">
        <f t="shared" si="3"/>
        <v>12196311.722851807</v>
      </c>
      <c r="H18" s="76">
        <f t="shared" si="4"/>
        <v>12135220.695454547</v>
      </c>
      <c r="I18" s="77">
        <f t="shared" si="2"/>
        <v>12196311.722851807</v>
      </c>
      <c r="J18" s="78"/>
      <c r="K18" s="253"/>
      <c r="L18" s="253"/>
    </row>
    <row r="19" spans="1:12" s="34" customFormat="1" ht="31.5" customHeight="1">
      <c r="A19" s="73">
        <v>4</v>
      </c>
      <c r="B19" s="74" t="s">
        <v>26</v>
      </c>
      <c r="C19" s="84"/>
      <c r="D19" s="76"/>
      <c r="E19" s="76"/>
      <c r="F19" s="76"/>
      <c r="G19" s="39"/>
      <c r="H19" s="76"/>
      <c r="I19" s="77"/>
      <c r="J19" s="78"/>
      <c r="K19" s="253"/>
      <c r="L19" s="253"/>
    </row>
    <row r="20" spans="1:12" s="91" customFormat="1" ht="37.5">
      <c r="A20" s="85" t="s">
        <v>27</v>
      </c>
      <c r="B20" s="86" t="s">
        <v>28</v>
      </c>
      <c r="C20" s="87">
        <f>'Biểu số 3-công'!F36</f>
        <v>42034.909090909096</v>
      </c>
      <c r="D20" s="88">
        <f>'Biểu số 4-Đơn giá máy móc'!I92</f>
        <v>28271.955479452048</v>
      </c>
      <c r="E20" s="88">
        <f>'Biểu số 5- Đơngiá vật tư, nlieu'!F190+'Biểu số 5- Đơngiá vật tư, nlieu'!F208</f>
        <v>180590.44999999998</v>
      </c>
      <c r="F20" s="88">
        <f>'Biểu số 5- Đơngiá vật tư, nlieu'!F212</f>
        <v>28068</v>
      </c>
      <c r="G20" s="40">
        <f t="shared" si="3"/>
        <v>278965.31457036111</v>
      </c>
      <c r="H20" s="88">
        <f t="shared" si="4"/>
        <v>250693.35909090907</v>
      </c>
      <c r="I20" s="89">
        <f t="shared" si="2"/>
        <v>278965.31457036111</v>
      </c>
      <c r="J20" s="90"/>
      <c r="K20" s="256"/>
      <c r="L20" s="256"/>
    </row>
    <row r="21" spans="1:12" s="91" customFormat="1" ht="36.75" customHeight="1">
      <c r="A21" s="41">
        <v>4.2</v>
      </c>
      <c r="B21" s="86" t="s">
        <v>29</v>
      </c>
      <c r="C21" s="92">
        <f>'Biểu số 3-công'!F40</f>
        <v>58222.390909090915</v>
      </c>
      <c r="D21" s="93">
        <f>'Biểu số 4-Đơn giá máy móc'!I108</f>
        <v>158859.95205479453</v>
      </c>
      <c r="E21" s="93">
        <f>'Biểu số 5- Đơngiá vật tư, nlieu'!F225+'Biểu số 5- Đơngiá vật tư, nlieu'!F243</f>
        <v>68878.899999999994</v>
      </c>
      <c r="F21" s="93">
        <f>'Biểu số 5- Đơngiá vật tư, nlieu'!F247</f>
        <v>49408</v>
      </c>
      <c r="G21" s="40">
        <f t="shared" si="3"/>
        <v>335369.24296388542</v>
      </c>
      <c r="H21" s="88">
        <f t="shared" si="4"/>
        <v>176509.29090909089</v>
      </c>
      <c r="I21" s="89">
        <f t="shared" si="2"/>
        <v>335369.24296388542</v>
      </c>
      <c r="J21" s="90"/>
      <c r="K21" s="256"/>
      <c r="L21" s="256"/>
    </row>
    <row r="22" spans="1:12" s="91" customFormat="1" ht="75">
      <c r="A22" s="43">
        <v>4.3</v>
      </c>
      <c r="B22" s="86" t="s">
        <v>30</v>
      </c>
      <c r="C22" s="89">
        <f>'Biểu số 3-công'!F44</f>
        <v>58222.390909090915</v>
      </c>
      <c r="D22" s="89">
        <f>'Biểu số 4-Đơn giá máy móc'!I127</f>
        <v>147089.81792237447</v>
      </c>
      <c r="E22" s="89">
        <f>'Biểu số 5- Đơngiá vật tư, nlieu'!F282+'Biểu số 5- Đơngiá vật tư, nlieu'!F294</f>
        <v>22325.4</v>
      </c>
      <c r="F22" s="89">
        <f>'Biểu số 5- Đơngiá vật tư, nlieu'!F298</f>
        <v>77765</v>
      </c>
      <c r="G22" s="40">
        <f t="shared" si="3"/>
        <v>305402.60883146536</v>
      </c>
      <c r="H22" s="88">
        <f t="shared" si="4"/>
        <v>158312.79090909089</v>
      </c>
      <c r="I22" s="89">
        <f t="shared" si="2"/>
        <v>305402.60883146536</v>
      </c>
      <c r="J22" s="90"/>
      <c r="K22" s="257"/>
      <c r="L22" s="256"/>
    </row>
    <row r="23" spans="1:12" s="34" customFormat="1" ht="37.5">
      <c r="A23" s="161">
        <v>5</v>
      </c>
      <c r="B23" s="94" t="s">
        <v>31</v>
      </c>
      <c r="C23" s="95"/>
      <c r="D23" s="77"/>
      <c r="E23" s="95"/>
      <c r="F23" s="95"/>
      <c r="G23" s="39"/>
      <c r="H23" s="76"/>
      <c r="I23" s="77"/>
      <c r="J23" s="78"/>
      <c r="K23" s="253"/>
      <c r="L23" s="253"/>
    </row>
    <row r="24" spans="1:12" s="91" customFormat="1" ht="37.5">
      <c r="A24" s="43">
        <v>5.0999999999999996</v>
      </c>
      <c r="B24" s="42" t="s">
        <v>32</v>
      </c>
      <c r="C24" s="89">
        <f>'Biểu số 3-công'!F49</f>
        <v>77107.786363636362</v>
      </c>
      <c r="D24" s="89">
        <f>'Biểu số 4-Đơn giá máy móc'!I149</f>
        <v>414036.64554794529</v>
      </c>
      <c r="E24" s="89">
        <f>'Biểu số 5- Đơngiá vật tư, nlieu'!F311+'Biểu số 5- Đơngiá vật tư, nlieu'!F322</f>
        <v>224982.43333333335</v>
      </c>
      <c r="F24" s="89">
        <f>'Biểu số 5- Đơngiá vật tư, nlieu'!F326</f>
        <v>55810</v>
      </c>
      <c r="G24" s="40">
        <f t="shared" si="3"/>
        <v>771936.86524491501</v>
      </c>
      <c r="H24" s="88">
        <f t="shared" si="4"/>
        <v>357900.21969696973</v>
      </c>
      <c r="I24" s="89">
        <f t="shared" si="2"/>
        <v>771936.86524491501</v>
      </c>
      <c r="J24" s="90"/>
      <c r="K24" s="256"/>
      <c r="L24" s="256"/>
    </row>
    <row r="25" spans="1:12" s="91" customFormat="1" ht="56.25">
      <c r="A25" s="43">
        <v>5.2</v>
      </c>
      <c r="B25" s="42" t="s">
        <v>33</v>
      </c>
      <c r="C25" s="89">
        <f>'Biểu số 3-công'!F53</f>
        <v>77107.786363636362</v>
      </c>
      <c r="D25" s="89">
        <f>'Biểu số 4-Đơn giá máy móc'!I159</f>
        <v>468005.05821917811</v>
      </c>
      <c r="E25" s="89">
        <f>'Biểu số 5- Đơngiá vật tư, nlieu'!F340+'Biểu số 5- Đơngiá vật tư, nlieu'!F353</f>
        <v>108118.39999999999</v>
      </c>
      <c r="F25" s="89">
        <f>'Biểu số 5- Đơngiá vật tư, nlieu'!F357</f>
        <v>55810</v>
      </c>
      <c r="G25" s="40">
        <f t="shared" si="3"/>
        <v>709041.24458281451</v>
      </c>
      <c r="H25" s="88">
        <f t="shared" si="4"/>
        <v>241036.1863636364</v>
      </c>
      <c r="I25" s="89">
        <f t="shared" si="2"/>
        <v>709041.24458281451</v>
      </c>
      <c r="J25" s="90"/>
      <c r="K25" s="256"/>
      <c r="L25" s="256"/>
    </row>
    <row r="26" spans="1:12" s="91" customFormat="1" ht="37.5">
      <c r="A26" s="43">
        <v>5.3</v>
      </c>
      <c r="B26" s="42" t="s">
        <v>34</v>
      </c>
      <c r="C26" s="89">
        <f>'Biểu số 3-công'!F57</f>
        <v>77107.786363636362</v>
      </c>
      <c r="D26" s="89">
        <f>'Biểu số 4-Đơn giá máy móc'!I170</f>
        <v>414692.06164383568</v>
      </c>
      <c r="E26" s="89">
        <f>'Biểu số 5- Đơngiá vật tư, nlieu'!F368+'Biểu số 5- Đơngiá vật tư, nlieu'!F381</f>
        <v>794584.79999999993</v>
      </c>
      <c r="F26" s="89">
        <f>'Biểu số 5- Đơngiá vật tư, nlieu'!F385</f>
        <v>26460</v>
      </c>
      <c r="G26" s="40">
        <f t="shared" si="3"/>
        <v>1312844.648007472</v>
      </c>
      <c r="H26" s="88">
        <f t="shared" si="4"/>
        <v>898152.58636363642</v>
      </c>
      <c r="I26" s="89">
        <f t="shared" si="2"/>
        <v>1312844.648007472</v>
      </c>
      <c r="J26" s="90"/>
      <c r="K26" s="256"/>
      <c r="L26" s="256"/>
    </row>
    <row r="27" spans="1:12" s="91" customFormat="1" ht="37.5">
      <c r="A27" s="43">
        <v>5.4</v>
      </c>
      <c r="B27" s="42" t="s">
        <v>35</v>
      </c>
      <c r="C27" s="89">
        <f>'Biểu số 3-công'!F61</f>
        <v>71711.959090909091</v>
      </c>
      <c r="D27" s="89">
        <f>'Biểu số 4-Đơn giá máy móc'!I180</f>
        <v>406402.31849315076</v>
      </c>
      <c r="E27" s="89">
        <f>'Biểu số 5- Đơngiá vật tư, nlieu'!F397+'Biểu số 5- Đơngiá vật tư, nlieu'!F410</f>
        <v>325311.40000000002</v>
      </c>
      <c r="F27" s="89">
        <f>'Biểu số 5- Đơngiá vật tư, nlieu'!F414</f>
        <v>55810</v>
      </c>
      <c r="G27" s="40">
        <f t="shared" si="3"/>
        <v>859235.67758405989</v>
      </c>
      <c r="H27" s="88">
        <f t="shared" si="4"/>
        <v>452833.35909090913</v>
      </c>
      <c r="I27" s="89">
        <f t="shared" si="2"/>
        <v>859235.67758405989</v>
      </c>
      <c r="J27" s="90"/>
      <c r="K27" s="256"/>
      <c r="L27" s="256"/>
    </row>
    <row r="28" spans="1:12" s="91" customFormat="1" ht="37.5">
      <c r="A28" s="43">
        <v>5.5</v>
      </c>
      <c r="B28" s="42" t="s">
        <v>36</v>
      </c>
      <c r="C28" s="89">
        <f>'Biểu số 3-công'!F65</f>
        <v>42034.909090909096</v>
      </c>
      <c r="D28" s="89">
        <f>'Biểu số 4-Đơn giá máy móc'!I189</f>
        <v>7671.4897260273974</v>
      </c>
      <c r="E28" s="89">
        <f>'Biểu số 5- Đơngiá vật tư, nlieu'!F425+'Biểu số 5- Đơngiá vật tư, nlieu'!F443</f>
        <v>42410.9</v>
      </c>
      <c r="F28" s="89">
        <f>'Biểu số 5- Đơngiá vật tư, nlieu'!F447</f>
        <v>23800</v>
      </c>
      <c r="G28" s="40">
        <f t="shared" si="3"/>
        <v>115917.2988169365</v>
      </c>
      <c r="H28" s="88">
        <f t="shared" si="4"/>
        <v>108245.8090909091</v>
      </c>
      <c r="I28" s="89">
        <f t="shared" si="2"/>
        <v>115917.2988169365</v>
      </c>
      <c r="J28" s="90"/>
      <c r="K28" s="256"/>
      <c r="L28" s="256"/>
    </row>
  </sheetData>
  <mergeCells count="10">
    <mergeCell ref="A8:H8"/>
    <mergeCell ref="A15:H15"/>
    <mergeCell ref="A5:A6"/>
    <mergeCell ref="B5:B6"/>
    <mergeCell ref="A1:I1"/>
    <mergeCell ref="A2:I2"/>
    <mergeCell ref="C5:G5"/>
    <mergeCell ref="H5:I5"/>
    <mergeCell ref="A4:I4"/>
    <mergeCell ref="A3:I3"/>
  </mergeCells>
  <pageMargins left="0.44" right="0.19685039370078741" top="0.35433070866141736" bottom="0.15748031496062992" header="0.31496062992125984" footer="0.2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6"/>
  <sheetViews>
    <sheetView view="pageBreakPreview" zoomScale="80" zoomScaleSheetLayoutView="80" workbookViewId="0">
      <selection activeCell="A2" sqref="A2:H2"/>
    </sheetView>
  </sheetViews>
  <sheetFormatPr defaultColWidth="9" defaultRowHeight="18.75"/>
  <cols>
    <col min="1" max="1" width="5.44140625" customWidth="1"/>
    <col min="2" max="2" width="13.6640625" customWidth="1"/>
    <col min="3" max="3" width="12.6640625" customWidth="1"/>
    <col min="4" max="4" width="13.21875" customWidth="1"/>
    <col min="5" max="5" width="14.109375" customWidth="1"/>
    <col min="6" max="6" width="11.33203125" customWidth="1"/>
    <col min="7" max="7" width="13.44140625" customWidth="1"/>
    <col min="8" max="8" width="8.88671875" customWidth="1"/>
  </cols>
  <sheetData>
    <row r="1" spans="1:8" ht="30.75" customHeight="1">
      <c r="A1" s="276" t="s">
        <v>498</v>
      </c>
      <c r="B1" s="276"/>
      <c r="C1" s="276"/>
      <c r="D1" s="276"/>
      <c r="E1" s="276"/>
      <c r="F1" s="276"/>
      <c r="G1" s="276"/>
      <c r="H1" s="276"/>
    </row>
    <row r="2" spans="1:8">
      <c r="A2" s="277"/>
      <c r="B2" s="277"/>
      <c r="C2" s="277"/>
      <c r="D2" s="277"/>
      <c r="E2" s="277"/>
      <c r="F2" s="277"/>
      <c r="G2" s="277"/>
      <c r="H2" s="277"/>
    </row>
    <row r="3" spans="1:8" ht="30.75" customHeight="1">
      <c r="A3" s="278" t="s">
        <v>497</v>
      </c>
      <c r="B3" s="278"/>
      <c r="C3" s="278"/>
      <c r="D3" s="278"/>
      <c r="E3" s="278"/>
      <c r="F3" s="278"/>
      <c r="G3" s="278"/>
      <c r="H3" s="278"/>
    </row>
    <row r="4" spans="1:8" s="2" customFormat="1" ht="72" customHeight="1">
      <c r="A4" s="191" t="s">
        <v>1</v>
      </c>
      <c r="B4" s="191" t="s">
        <v>37</v>
      </c>
      <c r="C4" s="191" t="s">
        <v>38</v>
      </c>
      <c r="D4" s="191" t="s">
        <v>39</v>
      </c>
      <c r="E4" s="191" t="s">
        <v>40</v>
      </c>
      <c r="F4" s="191" t="s">
        <v>41</v>
      </c>
      <c r="G4" s="191" t="s">
        <v>42</v>
      </c>
      <c r="H4" s="191" t="s">
        <v>43</v>
      </c>
    </row>
    <row r="5" spans="1:8" ht="24.75" customHeight="1">
      <c r="A5" s="189" t="s">
        <v>44</v>
      </c>
      <c r="B5" s="190"/>
      <c r="C5" s="190"/>
      <c r="D5" s="190"/>
      <c r="E5" s="190"/>
      <c r="F5" s="190"/>
      <c r="G5" s="190"/>
      <c r="H5" s="190"/>
    </row>
    <row r="6" spans="1:8" ht="32.25" customHeight="1">
      <c r="A6" s="25">
        <v>1</v>
      </c>
      <c r="B6" s="26" t="s">
        <v>45</v>
      </c>
      <c r="C6" s="27" t="s">
        <v>46</v>
      </c>
      <c r="D6" s="28">
        <v>2.34</v>
      </c>
      <c r="E6" s="29">
        <f>D6*0.235</f>
        <v>0.54989999999999994</v>
      </c>
      <c r="F6" s="25">
        <v>1800000</v>
      </c>
      <c r="G6" s="25">
        <f>(D6+E6)*F6/22</f>
        <v>236446.36363636365</v>
      </c>
      <c r="H6" s="30"/>
    </row>
    <row r="7" spans="1:8" ht="32.25" customHeight="1">
      <c r="A7" s="25">
        <v>2</v>
      </c>
      <c r="B7" s="26" t="s">
        <v>47</v>
      </c>
      <c r="C7" s="27" t="s">
        <v>48</v>
      </c>
      <c r="D7" s="28">
        <v>2.67</v>
      </c>
      <c r="E7" s="29">
        <f t="shared" ref="E7:E15" si="0">D7*0.235</f>
        <v>0.62744999999999995</v>
      </c>
      <c r="F7" s="25">
        <v>1800000</v>
      </c>
      <c r="G7" s="25">
        <f t="shared" ref="G7:G15" si="1">(D7+E7)*F7/22</f>
        <v>269791.36363636365</v>
      </c>
      <c r="H7" s="31"/>
    </row>
    <row r="8" spans="1:8" ht="32.25" customHeight="1">
      <c r="A8" s="25">
        <v>3</v>
      </c>
      <c r="B8" s="26" t="s">
        <v>49</v>
      </c>
      <c r="C8" s="27" t="s">
        <v>50</v>
      </c>
      <c r="D8" s="28">
        <v>3</v>
      </c>
      <c r="E8" s="29">
        <f t="shared" si="0"/>
        <v>0.70499999999999996</v>
      </c>
      <c r="F8" s="25">
        <v>1800000</v>
      </c>
      <c r="G8" s="25">
        <f t="shared" si="1"/>
        <v>303136.36363636365</v>
      </c>
      <c r="H8" s="31"/>
    </row>
    <row r="9" spans="1:8" ht="32.25" customHeight="1">
      <c r="A9" s="25">
        <v>4</v>
      </c>
      <c r="B9" s="26" t="s">
        <v>51</v>
      </c>
      <c r="C9" s="27" t="s">
        <v>52</v>
      </c>
      <c r="D9" s="28">
        <v>3.33</v>
      </c>
      <c r="E9" s="29">
        <f t="shared" si="0"/>
        <v>0.78254999999999997</v>
      </c>
      <c r="F9" s="25">
        <v>1800000</v>
      </c>
      <c r="G9" s="25">
        <f t="shared" si="1"/>
        <v>336481.36363636359</v>
      </c>
      <c r="H9" s="31"/>
    </row>
    <row r="10" spans="1:8" ht="32.25" customHeight="1">
      <c r="A10" s="25">
        <v>5</v>
      </c>
      <c r="B10" s="26" t="s">
        <v>53</v>
      </c>
      <c r="C10" s="27" t="s">
        <v>54</v>
      </c>
      <c r="D10" s="28">
        <v>3.66</v>
      </c>
      <c r="E10" s="29">
        <f t="shared" si="0"/>
        <v>0.86009999999999998</v>
      </c>
      <c r="F10" s="25">
        <v>1800000</v>
      </c>
      <c r="G10" s="25">
        <f t="shared" si="1"/>
        <v>369826.36363636365</v>
      </c>
      <c r="H10" s="31"/>
    </row>
    <row r="11" spans="1:8" ht="32.25" customHeight="1">
      <c r="A11" s="25">
        <v>6</v>
      </c>
      <c r="B11" s="26" t="s">
        <v>55</v>
      </c>
      <c r="C11" s="27" t="s">
        <v>56</v>
      </c>
      <c r="D11" s="28">
        <v>3.99</v>
      </c>
      <c r="E11" s="29">
        <f t="shared" si="0"/>
        <v>0.93764999999999998</v>
      </c>
      <c r="F11" s="25">
        <v>1800000</v>
      </c>
      <c r="G11" s="25">
        <f t="shared" si="1"/>
        <v>403171.36363636365</v>
      </c>
      <c r="H11" s="31"/>
    </row>
    <row r="12" spans="1:8" ht="32.25" customHeight="1">
      <c r="A12" s="25">
        <v>7</v>
      </c>
      <c r="B12" s="26" t="s">
        <v>57</v>
      </c>
      <c r="C12" s="27" t="s">
        <v>58</v>
      </c>
      <c r="D12" s="28">
        <v>4.32</v>
      </c>
      <c r="E12" s="29">
        <f t="shared" si="0"/>
        <v>1.0152000000000001</v>
      </c>
      <c r="F12" s="25">
        <v>1800000</v>
      </c>
      <c r="G12" s="25">
        <f t="shared" si="1"/>
        <v>436516.36363636365</v>
      </c>
      <c r="H12" s="31"/>
    </row>
    <row r="13" spans="1:8" ht="32.25" customHeight="1">
      <c r="A13" s="25">
        <v>8</v>
      </c>
      <c r="B13" s="26" t="s">
        <v>59</v>
      </c>
      <c r="C13" s="27" t="s">
        <v>60</v>
      </c>
      <c r="D13" s="28">
        <v>4.6500000000000004</v>
      </c>
      <c r="E13" s="29">
        <f t="shared" si="0"/>
        <v>1.0927500000000001</v>
      </c>
      <c r="F13" s="25">
        <v>1800000</v>
      </c>
      <c r="G13" s="25">
        <f t="shared" si="1"/>
        <v>469861.36363636371</v>
      </c>
      <c r="H13" s="31"/>
    </row>
    <row r="14" spans="1:8" ht="32.25" customHeight="1">
      <c r="A14" s="25">
        <v>9</v>
      </c>
      <c r="B14" s="26" t="s">
        <v>61</v>
      </c>
      <c r="C14" s="27" t="s">
        <v>62</v>
      </c>
      <c r="D14" s="28">
        <v>4.9800000000000004</v>
      </c>
      <c r="E14" s="29">
        <f t="shared" si="0"/>
        <v>1.1703000000000001</v>
      </c>
      <c r="F14" s="25">
        <v>1800000</v>
      </c>
      <c r="G14" s="25">
        <f t="shared" si="1"/>
        <v>503206.36363636371</v>
      </c>
      <c r="H14" s="31"/>
    </row>
    <row r="15" spans="1:8" ht="32.25" customHeight="1">
      <c r="A15" s="25">
        <v>10</v>
      </c>
      <c r="B15" s="26" t="s">
        <v>63</v>
      </c>
      <c r="C15" s="27" t="s">
        <v>64</v>
      </c>
      <c r="D15" s="28">
        <v>2.06</v>
      </c>
      <c r="E15" s="29">
        <f t="shared" si="0"/>
        <v>0.48409999999999997</v>
      </c>
      <c r="F15" s="25">
        <v>1800000</v>
      </c>
      <c r="G15" s="25">
        <f t="shared" si="1"/>
        <v>208153.63636363635</v>
      </c>
      <c r="H15" s="31"/>
    </row>
    <row r="16" spans="1:8" ht="32.25" customHeight="1">
      <c r="A16" s="32"/>
      <c r="B16" s="33"/>
      <c r="C16" s="33"/>
      <c r="D16" s="33"/>
      <c r="E16" s="33"/>
      <c r="F16" s="33"/>
      <c r="G16" s="33"/>
      <c r="H16" s="33"/>
    </row>
  </sheetData>
  <mergeCells count="3">
    <mergeCell ref="A1:H1"/>
    <mergeCell ref="A2:H2"/>
    <mergeCell ref="A3:H3"/>
  </mergeCells>
  <pageMargins left="0.25" right="0.25" top="0.38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68"/>
  <sheetViews>
    <sheetView workbookViewId="0">
      <selection activeCell="A2" sqref="A2:G2"/>
    </sheetView>
  </sheetViews>
  <sheetFormatPr defaultColWidth="8.88671875" defaultRowHeight="15.75"/>
  <cols>
    <col min="1" max="1" width="5.5546875" style="1" customWidth="1"/>
    <col min="2" max="2" width="35.88671875" style="1" customWidth="1"/>
    <col min="3" max="3" width="10.44140625" style="1" customWidth="1"/>
    <col min="4" max="4" width="9.6640625" style="1" customWidth="1"/>
    <col min="5" max="5" width="10.33203125" style="1" customWidth="1"/>
    <col min="6" max="6" width="11.21875" style="1" customWidth="1"/>
    <col min="7" max="16384" width="8.88671875" style="1"/>
  </cols>
  <sheetData>
    <row r="1" spans="1:20" ht="26.25" customHeight="1">
      <c r="A1" s="281" t="s">
        <v>499</v>
      </c>
      <c r="B1" s="281"/>
      <c r="C1" s="281"/>
      <c r="D1" s="281"/>
      <c r="E1" s="281"/>
      <c r="F1" s="281"/>
      <c r="G1" s="281"/>
    </row>
    <row r="2" spans="1:20">
      <c r="A2" s="285"/>
      <c r="B2" s="281"/>
      <c r="C2" s="281"/>
      <c r="D2" s="281"/>
      <c r="E2" s="281"/>
      <c r="F2" s="281"/>
      <c r="G2" s="281"/>
    </row>
    <row r="3" spans="1:20" ht="28.5" customHeight="1">
      <c r="A3" s="286" t="s">
        <v>497</v>
      </c>
      <c r="B3" s="286"/>
      <c r="C3" s="286"/>
      <c r="D3" s="286"/>
      <c r="E3" s="286"/>
      <c r="F3" s="286"/>
      <c r="G3" s="286"/>
    </row>
    <row r="4" spans="1:20" s="8" customFormat="1" ht="55.5" customHeight="1">
      <c r="A4" s="44" t="s">
        <v>1</v>
      </c>
      <c r="B4" s="45" t="s">
        <v>65</v>
      </c>
      <c r="C4" s="45" t="s">
        <v>66</v>
      </c>
      <c r="D4" s="45" t="s">
        <v>67</v>
      </c>
      <c r="E4" s="45" t="s">
        <v>507</v>
      </c>
      <c r="F4" s="45" t="s">
        <v>506</v>
      </c>
      <c r="G4" s="45" t="s">
        <v>43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8" customFormat="1">
      <c r="A5" s="45" t="s">
        <v>44</v>
      </c>
      <c r="B5" s="44" t="s">
        <v>68</v>
      </c>
      <c r="C5" s="45"/>
      <c r="D5" s="44"/>
      <c r="E5" s="44"/>
      <c r="F5" s="45"/>
      <c r="G5" s="4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s="7" customFormat="1">
      <c r="A6" s="46">
        <v>1</v>
      </c>
      <c r="B6" s="47" t="s">
        <v>69</v>
      </c>
      <c r="C6" s="46"/>
      <c r="D6" s="46"/>
      <c r="E6" s="46"/>
      <c r="F6" s="48">
        <f>F7+F8</f>
        <v>64052.713636363638</v>
      </c>
      <c r="G6" s="4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9" customFormat="1">
      <c r="A7" s="50"/>
      <c r="B7" s="51" t="s">
        <v>70</v>
      </c>
      <c r="C7" s="283" t="s">
        <v>71</v>
      </c>
      <c r="D7" s="52">
        <v>0.2</v>
      </c>
      <c r="E7" s="20">
        <f>'Biếu số 2'!G7</f>
        <v>269791.36363636365</v>
      </c>
      <c r="F7" s="20">
        <f>E7*D7</f>
        <v>53958.272727272735</v>
      </c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s="9" customFormat="1">
      <c r="A8" s="16"/>
      <c r="B8" s="51" t="s">
        <v>72</v>
      </c>
      <c r="C8" s="284"/>
      <c r="D8" s="52">
        <v>0.03</v>
      </c>
      <c r="E8" s="20">
        <f>'Biếu số 2'!G9</f>
        <v>336481.36363636359</v>
      </c>
      <c r="F8" s="20">
        <f>E8*D8</f>
        <v>10094.440909090907</v>
      </c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7" customFormat="1">
      <c r="A9" s="10">
        <v>2</v>
      </c>
      <c r="B9" s="53" t="s">
        <v>73</v>
      </c>
      <c r="C9" s="10"/>
      <c r="D9" s="54"/>
      <c r="E9" s="10"/>
      <c r="F9" s="55">
        <f>F10+F11</f>
        <v>118010.98636363637</v>
      </c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9" customFormat="1">
      <c r="A10" s="50"/>
      <c r="B10" s="51" t="s">
        <v>70</v>
      </c>
      <c r="C10" s="283" t="s">
        <v>71</v>
      </c>
      <c r="D10" s="52">
        <v>0.4</v>
      </c>
      <c r="E10" s="20">
        <f>'Biếu số 2'!G7</f>
        <v>269791.36363636365</v>
      </c>
      <c r="F10" s="20">
        <f>D10*E10</f>
        <v>107916.54545454547</v>
      </c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s="9" customFormat="1">
      <c r="A11" s="16"/>
      <c r="B11" s="51" t="s">
        <v>72</v>
      </c>
      <c r="C11" s="284"/>
      <c r="D11" s="52">
        <v>0.03</v>
      </c>
      <c r="E11" s="20">
        <f>'Biếu số 2'!G9</f>
        <v>336481.36363636359</v>
      </c>
      <c r="F11" s="20">
        <f>D11*E11</f>
        <v>10094.440909090907</v>
      </c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s="7" customFormat="1">
      <c r="A12" s="10">
        <v>3</v>
      </c>
      <c r="B12" s="53" t="s">
        <v>74</v>
      </c>
      <c r="C12" s="10"/>
      <c r="D12" s="54"/>
      <c r="E12" s="10"/>
      <c r="F12" s="56">
        <f>F13+F14</f>
        <v>118010.98636363637</v>
      </c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s="9" customFormat="1">
      <c r="A13" s="50"/>
      <c r="B13" s="51" t="s">
        <v>70</v>
      </c>
      <c r="C13" s="283" t="s">
        <v>75</v>
      </c>
      <c r="D13" s="52">
        <v>0.4</v>
      </c>
      <c r="E13" s="20">
        <f>'Biếu số 2'!G7</f>
        <v>269791.36363636365</v>
      </c>
      <c r="F13" s="20">
        <f>D13*E13</f>
        <v>107916.54545454547</v>
      </c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9" customFormat="1">
      <c r="A14" s="16"/>
      <c r="B14" s="51" t="s">
        <v>72</v>
      </c>
      <c r="C14" s="284"/>
      <c r="D14" s="52">
        <v>0.03</v>
      </c>
      <c r="E14" s="20">
        <f>'Biếu số 2'!G9</f>
        <v>336481.36363636359</v>
      </c>
      <c r="F14" s="20">
        <f>D14*E14</f>
        <v>10094.440909090907</v>
      </c>
      <c r="G14" s="1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s="7" customFormat="1">
      <c r="A15" s="10">
        <v>4</v>
      </c>
      <c r="B15" s="53" t="s">
        <v>76</v>
      </c>
      <c r="C15" s="10"/>
      <c r="D15" s="54"/>
      <c r="E15" s="10"/>
      <c r="F15" s="17">
        <f>F16+F17</f>
        <v>96427.677272727393</v>
      </c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s="9" customFormat="1">
      <c r="A16" s="50"/>
      <c r="B16" s="51" t="s">
        <v>70</v>
      </c>
      <c r="C16" s="283" t="s">
        <v>75</v>
      </c>
      <c r="D16" s="52">
        <v>0.32</v>
      </c>
      <c r="E16" s="20">
        <f>'[1]Biếu số 1'!$G$7</f>
        <v>269791.363636364</v>
      </c>
      <c r="F16" s="20">
        <f>D16*E16</f>
        <v>86333.236363636475</v>
      </c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9" customFormat="1">
      <c r="A17" s="16"/>
      <c r="B17" s="51" t="s">
        <v>72</v>
      </c>
      <c r="C17" s="284"/>
      <c r="D17" s="52">
        <v>0.03</v>
      </c>
      <c r="E17" s="20">
        <f>'[1]Biếu số 1'!$G$9</f>
        <v>336481.363636364</v>
      </c>
      <c r="F17" s="20">
        <f>D17*E17</f>
        <v>10094.440909090919</v>
      </c>
      <c r="G17" s="1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7" customFormat="1">
      <c r="A18" s="10">
        <v>5</v>
      </c>
      <c r="B18" s="53" t="s">
        <v>77</v>
      </c>
      <c r="C18" s="10"/>
      <c r="D18" s="54"/>
      <c r="E18" s="10"/>
      <c r="F18" s="17">
        <f>SUM(F19:F20)</f>
        <v>182760.91363636366</v>
      </c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s="9" customFormat="1">
      <c r="A19" s="50"/>
      <c r="B19" s="51" t="s">
        <v>70</v>
      </c>
      <c r="C19" s="283" t="s">
        <v>78</v>
      </c>
      <c r="D19" s="52">
        <v>0.64</v>
      </c>
      <c r="E19" s="20">
        <f>'Biếu số 2'!G7</f>
        <v>269791.36363636365</v>
      </c>
      <c r="F19" s="20">
        <f>D19*E19</f>
        <v>172666.47272727275</v>
      </c>
      <c r="G19" s="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9" customFormat="1">
      <c r="A20" s="16"/>
      <c r="B20" s="51" t="s">
        <v>72</v>
      </c>
      <c r="C20" s="284"/>
      <c r="D20" s="52">
        <v>0.03</v>
      </c>
      <c r="E20" s="20">
        <f>'Biếu số 2'!G9</f>
        <v>336481.36363636359</v>
      </c>
      <c r="F20" s="20">
        <f>D20*E20</f>
        <v>10094.440909090907</v>
      </c>
      <c r="G20" s="1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s="7" customFormat="1">
      <c r="A21" s="10">
        <v>6</v>
      </c>
      <c r="B21" s="53" t="s">
        <v>79</v>
      </c>
      <c r="C21" s="10"/>
      <c r="D21" s="54"/>
      <c r="E21" s="10"/>
      <c r="F21" s="17">
        <f>SUM(F22:F24)</f>
        <v>390692.25</v>
      </c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s="9" customFormat="1">
      <c r="A22" s="50"/>
      <c r="B22" s="51" t="s">
        <v>80</v>
      </c>
      <c r="C22" s="283" t="s">
        <v>78</v>
      </c>
      <c r="D22" s="52">
        <v>1</v>
      </c>
      <c r="E22" s="20">
        <f>'Biếu số 2'!G7</f>
        <v>269791.36363636365</v>
      </c>
      <c r="F22" s="20">
        <f>D22*E22</f>
        <v>269791.36363636365</v>
      </c>
      <c r="G22" s="1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s="9" customFormat="1">
      <c r="A23" s="16"/>
      <c r="B23" s="51" t="s">
        <v>81</v>
      </c>
      <c r="C23" s="284"/>
      <c r="D23" s="52">
        <v>0.5</v>
      </c>
      <c r="E23" s="20">
        <f>'Biếu số 2'!G15</f>
        <v>208153.63636363635</v>
      </c>
      <c r="F23" s="20">
        <f>D23*E23</f>
        <v>104076.81818181818</v>
      </c>
      <c r="G23" s="1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s="9" customFormat="1">
      <c r="A24" s="57"/>
      <c r="B24" s="58" t="s">
        <v>82</v>
      </c>
      <c r="C24" s="59"/>
      <c r="D24" s="60">
        <v>0.05</v>
      </c>
      <c r="E24" s="61">
        <f>'Biếu số 2'!G9</f>
        <v>336481.36363636359</v>
      </c>
      <c r="F24" s="61">
        <f>D24*E24</f>
        <v>16824.06818181818</v>
      </c>
      <c r="G24" s="6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8" customFormat="1" ht="18.75" customHeight="1">
      <c r="A25" s="45" t="s">
        <v>83</v>
      </c>
      <c r="B25" s="282" t="s">
        <v>84</v>
      </c>
      <c r="C25" s="282"/>
      <c r="D25" s="282"/>
      <c r="E25" s="63"/>
      <c r="F25" s="64"/>
      <c r="G25" s="6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7" customFormat="1" ht="77.099999999999994" customHeight="1">
      <c r="A26" s="46">
        <v>1</v>
      </c>
      <c r="B26" s="65" t="s">
        <v>85</v>
      </c>
      <c r="C26" s="46"/>
      <c r="D26" s="46"/>
      <c r="E26" s="46"/>
      <c r="F26" s="48">
        <f>F27+F28</f>
        <v>1176866.3045454547</v>
      </c>
      <c r="G26" s="4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s="9" customFormat="1">
      <c r="A27" s="16"/>
      <c r="B27" s="19" t="s">
        <v>70</v>
      </c>
      <c r="C27" s="16"/>
      <c r="D27" s="52">
        <v>4.2</v>
      </c>
      <c r="E27" s="66">
        <f>'Biếu số 2'!G7</f>
        <v>269791.36363636365</v>
      </c>
      <c r="F27" s="20">
        <f>E27*D27</f>
        <v>1133123.7272727273</v>
      </c>
      <c r="G27" s="1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s="9" customFormat="1">
      <c r="A28" s="16"/>
      <c r="B28" s="19" t="s">
        <v>72</v>
      </c>
      <c r="C28" s="16"/>
      <c r="D28" s="52">
        <v>0.13</v>
      </c>
      <c r="E28" s="66">
        <f>'Biếu số 2'!G9</f>
        <v>336481.36363636359</v>
      </c>
      <c r="F28" s="20">
        <f>E28*D28</f>
        <v>43742.577272727271</v>
      </c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s="7" customFormat="1" ht="31.5">
      <c r="A29" s="10">
        <v>2</v>
      </c>
      <c r="B29" s="11" t="s">
        <v>24</v>
      </c>
      <c r="C29" s="10" t="s">
        <v>86</v>
      </c>
      <c r="D29" s="10"/>
      <c r="E29" s="10"/>
      <c r="F29" s="17">
        <f>F30+F31</f>
        <v>1446657.6681818184</v>
      </c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s="9" customFormat="1">
      <c r="A30" s="16"/>
      <c r="B30" s="19" t="s">
        <v>70</v>
      </c>
      <c r="C30" s="279" t="s">
        <v>87</v>
      </c>
      <c r="D30" s="52">
        <v>5.2</v>
      </c>
      <c r="E30" s="66">
        <f>'Biếu số 2'!G7</f>
        <v>269791.36363636365</v>
      </c>
      <c r="F30" s="20">
        <f>E30*D30</f>
        <v>1402915.0909090911</v>
      </c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s="9" customFormat="1" ht="18.75" customHeight="1">
      <c r="A31" s="16"/>
      <c r="B31" s="19" t="s">
        <v>72</v>
      </c>
      <c r="C31" s="280"/>
      <c r="D31" s="52">
        <v>0.13</v>
      </c>
      <c r="E31" s="66">
        <f>'Biếu số 2'!G9</f>
        <v>336481.36363636359</v>
      </c>
      <c r="F31" s="20">
        <f>E31*D31</f>
        <v>43742.577272727271</v>
      </c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s="7" customFormat="1" ht="31.5">
      <c r="A32" s="10">
        <v>3</v>
      </c>
      <c r="B32" s="11" t="s">
        <v>88</v>
      </c>
      <c r="C32" s="10"/>
      <c r="D32" s="10"/>
      <c r="E32" s="10"/>
      <c r="F32" s="17">
        <f>F33+F34</f>
        <v>1986240.3954545455</v>
      </c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9" customFormat="1" ht="21.75" customHeight="1">
      <c r="A33" s="16"/>
      <c r="B33" s="19" t="s">
        <v>70</v>
      </c>
      <c r="C33" s="279" t="s">
        <v>89</v>
      </c>
      <c r="D33" s="52">
        <v>7.2</v>
      </c>
      <c r="E33" s="66">
        <f>'Biếu số 2'!G7</f>
        <v>269791.36363636365</v>
      </c>
      <c r="F33" s="20">
        <f>E33*D33</f>
        <v>1942497.8181818184</v>
      </c>
      <c r="G33" s="1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9" customFormat="1" ht="29.25" customHeight="1">
      <c r="A34" s="16"/>
      <c r="B34" s="19" t="s">
        <v>72</v>
      </c>
      <c r="C34" s="280"/>
      <c r="D34" s="52">
        <v>0.13</v>
      </c>
      <c r="E34" s="66">
        <f>'Biếu số 2'!G9</f>
        <v>336481.36363636359</v>
      </c>
      <c r="F34" s="20">
        <f>E34*D34</f>
        <v>43742.577272727271</v>
      </c>
      <c r="G34" s="1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7" customFormat="1">
      <c r="A35" s="10">
        <v>4</v>
      </c>
      <c r="B35" s="11" t="s">
        <v>26</v>
      </c>
      <c r="C35" s="10"/>
      <c r="D35" s="10"/>
      <c r="E35" s="10"/>
      <c r="F35" s="10"/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8" customFormat="1">
      <c r="A36" s="12">
        <v>4.0999999999999996</v>
      </c>
      <c r="B36" s="13" t="s">
        <v>90</v>
      </c>
      <c r="C36" s="12"/>
      <c r="D36" s="12"/>
      <c r="E36" s="12"/>
      <c r="F36" s="14">
        <f>SUM(F37:F39)</f>
        <v>42034.909090909096</v>
      </c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9" customFormat="1">
      <c r="A37" s="16" t="s">
        <v>91</v>
      </c>
      <c r="B37" s="19" t="s">
        <v>80</v>
      </c>
      <c r="C37" s="16" t="s">
        <v>92</v>
      </c>
      <c r="D37" s="52">
        <v>0.1</v>
      </c>
      <c r="E37" s="20">
        <f>'Biếu số 2'!G7</f>
        <v>269791.36363636365</v>
      </c>
      <c r="F37" s="20">
        <f>E37*D37</f>
        <v>26979.136363636368</v>
      </c>
      <c r="G37" s="1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9" customFormat="1">
      <c r="A38" s="16" t="s">
        <v>91</v>
      </c>
      <c r="B38" s="19" t="s">
        <v>81</v>
      </c>
      <c r="C38" s="16" t="s">
        <v>92</v>
      </c>
      <c r="D38" s="52">
        <v>0.04</v>
      </c>
      <c r="E38" s="20">
        <f>'Biếu số 2'!G15</f>
        <v>208153.63636363635</v>
      </c>
      <c r="F38" s="20">
        <f>E38*D38</f>
        <v>8326.1454545454544</v>
      </c>
      <c r="G38" s="1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9" customFormat="1">
      <c r="A39" s="16" t="s">
        <v>91</v>
      </c>
      <c r="B39" s="19" t="s">
        <v>82</v>
      </c>
      <c r="C39" s="16" t="s">
        <v>92</v>
      </c>
      <c r="D39" s="52">
        <v>0.02</v>
      </c>
      <c r="E39" s="20">
        <f>'Biếu số 2'!G9</f>
        <v>336481.36363636359</v>
      </c>
      <c r="F39" s="20">
        <f>E39*D39</f>
        <v>6729.6272727272717</v>
      </c>
      <c r="G39" s="1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8" customFormat="1" ht="31.5">
      <c r="A40" s="12">
        <v>4.2</v>
      </c>
      <c r="B40" s="13" t="s">
        <v>93</v>
      </c>
      <c r="C40" s="12"/>
      <c r="D40" s="12"/>
      <c r="E40" s="12"/>
      <c r="F40" s="14">
        <f>SUM(F41:F43)</f>
        <v>58222.390909090915</v>
      </c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9" customFormat="1">
      <c r="A41" s="16" t="s">
        <v>91</v>
      </c>
      <c r="B41" s="19" t="s">
        <v>80</v>
      </c>
      <c r="C41" s="16" t="s">
        <v>92</v>
      </c>
      <c r="D41" s="16">
        <v>0.16</v>
      </c>
      <c r="E41" s="20">
        <f>'Biếu số 2'!G7</f>
        <v>269791.36363636365</v>
      </c>
      <c r="F41" s="20">
        <f>E41*D41</f>
        <v>43166.618181818187</v>
      </c>
      <c r="G41" s="1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9" customFormat="1">
      <c r="A42" s="16" t="s">
        <v>91</v>
      </c>
      <c r="B42" s="19" t="s">
        <v>81</v>
      </c>
      <c r="C42" s="16" t="s">
        <v>92</v>
      </c>
      <c r="D42" s="16">
        <v>0.04</v>
      </c>
      <c r="E42" s="20">
        <f>'Biếu số 2'!G15</f>
        <v>208153.63636363635</v>
      </c>
      <c r="F42" s="20">
        <f>E42*D42</f>
        <v>8326.1454545454544</v>
      </c>
      <c r="G42" s="1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9" customFormat="1">
      <c r="A43" s="16" t="s">
        <v>91</v>
      </c>
      <c r="B43" s="19" t="s">
        <v>82</v>
      </c>
      <c r="C43" s="16" t="s">
        <v>92</v>
      </c>
      <c r="D43" s="16">
        <v>0.02</v>
      </c>
      <c r="E43" s="20">
        <f>'Biếu số 2'!G9</f>
        <v>336481.36363636359</v>
      </c>
      <c r="F43" s="20">
        <f>E43*D43</f>
        <v>6729.6272727272717</v>
      </c>
      <c r="G43" s="1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8" customFormat="1" ht="63">
      <c r="A44" s="12">
        <v>4.3</v>
      </c>
      <c r="B44" s="15" t="s">
        <v>94</v>
      </c>
      <c r="C44" s="12"/>
      <c r="D44" s="12"/>
      <c r="E44" s="12"/>
      <c r="F44" s="14">
        <f>SUM(F45:F47)</f>
        <v>58222.390909090915</v>
      </c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9" customFormat="1">
      <c r="A45" s="16" t="s">
        <v>91</v>
      </c>
      <c r="B45" s="19" t="s">
        <v>80</v>
      </c>
      <c r="C45" s="16" t="s">
        <v>92</v>
      </c>
      <c r="D45" s="16">
        <v>0.16</v>
      </c>
      <c r="E45" s="20">
        <f>'Biếu số 2'!G7</f>
        <v>269791.36363636365</v>
      </c>
      <c r="F45" s="20">
        <f>E45*D45</f>
        <v>43166.618181818187</v>
      </c>
      <c r="G45" s="1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9" customFormat="1">
      <c r="A46" s="16" t="s">
        <v>91</v>
      </c>
      <c r="B46" s="19" t="s">
        <v>81</v>
      </c>
      <c r="C46" s="16" t="s">
        <v>92</v>
      </c>
      <c r="D46" s="16">
        <v>0.04</v>
      </c>
      <c r="E46" s="20">
        <f>'Biếu số 2'!G15</f>
        <v>208153.63636363635</v>
      </c>
      <c r="F46" s="20">
        <f>E46*D46</f>
        <v>8326.1454545454544</v>
      </c>
      <c r="G46" s="1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9" customFormat="1">
      <c r="A47" s="16" t="s">
        <v>91</v>
      </c>
      <c r="B47" s="19" t="s">
        <v>82</v>
      </c>
      <c r="C47" s="16" t="s">
        <v>92</v>
      </c>
      <c r="D47" s="16">
        <v>0.02</v>
      </c>
      <c r="E47" s="20">
        <f>'Biếu số 2'!G9</f>
        <v>336481.36363636359</v>
      </c>
      <c r="F47" s="20">
        <f>E47*D47</f>
        <v>6729.6272727272717</v>
      </c>
      <c r="G47" s="1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7" customFormat="1">
      <c r="A48" s="10">
        <v>5</v>
      </c>
      <c r="B48" s="11" t="s">
        <v>95</v>
      </c>
      <c r="C48" s="67"/>
      <c r="D48" s="67"/>
      <c r="E48" s="67"/>
      <c r="F48" s="67"/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8" customFormat="1" ht="31.5">
      <c r="A49" s="12">
        <v>5.0999999999999996</v>
      </c>
      <c r="B49" s="15" t="s">
        <v>96</v>
      </c>
      <c r="C49" s="16"/>
      <c r="D49" s="16"/>
      <c r="E49" s="16"/>
      <c r="F49" s="17">
        <f>SUM(F50:F52)</f>
        <v>77107.786363636362</v>
      </c>
      <c r="G49" s="1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9" customFormat="1">
      <c r="A50" s="16" t="s">
        <v>91</v>
      </c>
      <c r="B50" s="19" t="s">
        <v>80</v>
      </c>
      <c r="C50" s="16" t="s">
        <v>92</v>
      </c>
      <c r="D50" s="16">
        <v>0.23</v>
      </c>
      <c r="E50" s="20">
        <f>'Biếu số 2'!G7</f>
        <v>269791.36363636365</v>
      </c>
      <c r="F50" s="20">
        <f>E50*D50</f>
        <v>62052.013636363641</v>
      </c>
      <c r="G50" s="1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9" customFormat="1">
      <c r="A51" s="16" t="s">
        <v>91</v>
      </c>
      <c r="B51" s="19" t="s">
        <v>81</v>
      </c>
      <c r="C51" s="16" t="s">
        <v>92</v>
      </c>
      <c r="D51" s="16">
        <v>0.04</v>
      </c>
      <c r="E51" s="20">
        <f>'Biếu số 2'!G15</f>
        <v>208153.63636363635</v>
      </c>
      <c r="F51" s="20">
        <f>E51*D51</f>
        <v>8326.1454545454544</v>
      </c>
      <c r="G51" s="1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9" customFormat="1">
      <c r="A52" s="16" t="s">
        <v>91</v>
      </c>
      <c r="B52" s="19" t="s">
        <v>82</v>
      </c>
      <c r="C52" s="16" t="s">
        <v>92</v>
      </c>
      <c r="D52" s="16">
        <v>0.02</v>
      </c>
      <c r="E52" s="20">
        <f>'Biếu số 2'!G9</f>
        <v>336481.36363636359</v>
      </c>
      <c r="F52" s="20">
        <f>E52*D52</f>
        <v>6729.6272727272717</v>
      </c>
      <c r="G52" s="1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8" customFormat="1" ht="47.25">
      <c r="A53" s="12">
        <v>5.2</v>
      </c>
      <c r="B53" s="15" t="s">
        <v>97</v>
      </c>
      <c r="C53" s="16"/>
      <c r="D53" s="16"/>
      <c r="E53" s="16"/>
      <c r="F53" s="17">
        <f>SUM(F54:F56)</f>
        <v>77107.786363636362</v>
      </c>
      <c r="G53" s="1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9" customFormat="1">
      <c r="A54" s="16" t="s">
        <v>91</v>
      </c>
      <c r="B54" s="19" t="s">
        <v>80</v>
      </c>
      <c r="C54" s="16" t="s">
        <v>92</v>
      </c>
      <c r="D54" s="16">
        <v>0.23</v>
      </c>
      <c r="E54" s="20">
        <f>'Biếu số 2'!G7</f>
        <v>269791.36363636365</v>
      </c>
      <c r="F54" s="20">
        <f>E54*D54</f>
        <v>62052.013636363641</v>
      </c>
      <c r="G54" s="1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9" customFormat="1">
      <c r="A55" s="16" t="s">
        <v>91</v>
      </c>
      <c r="B55" s="19" t="s">
        <v>81</v>
      </c>
      <c r="C55" s="16" t="s">
        <v>92</v>
      </c>
      <c r="D55" s="16">
        <v>0.04</v>
      </c>
      <c r="E55" s="20">
        <f>'Biếu số 2'!G15</f>
        <v>208153.63636363635</v>
      </c>
      <c r="F55" s="20">
        <f>E55*D55</f>
        <v>8326.1454545454544</v>
      </c>
      <c r="G55" s="1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9" customFormat="1">
      <c r="A56" s="16" t="s">
        <v>91</v>
      </c>
      <c r="B56" s="19" t="s">
        <v>82</v>
      </c>
      <c r="C56" s="16" t="s">
        <v>92</v>
      </c>
      <c r="D56" s="16">
        <v>0.02</v>
      </c>
      <c r="E56" s="20">
        <f>'Biếu số 2'!G9</f>
        <v>336481.36363636359</v>
      </c>
      <c r="F56" s="20">
        <f>E56*D56</f>
        <v>6729.6272727272717</v>
      </c>
      <c r="G56" s="1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8" customFormat="1" ht="31.5">
      <c r="A57" s="12">
        <v>5.3</v>
      </c>
      <c r="B57" s="15" t="s">
        <v>98</v>
      </c>
      <c r="C57" s="16"/>
      <c r="D57" s="16"/>
      <c r="E57" s="16"/>
      <c r="F57" s="17">
        <f>SUM(F58:F60)</f>
        <v>77107.786363636362</v>
      </c>
      <c r="G57" s="1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9" customFormat="1">
      <c r="A58" s="16" t="s">
        <v>91</v>
      </c>
      <c r="B58" s="19" t="s">
        <v>80</v>
      </c>
      <c r="C58" s="16" t="s">
        <v>92</v>
      </c>
      <c r="D58" s="16">
        <v>0.23</v>
      </c>
      <c r="E58" s="20">
        <f>'Biếu số 2'!G7</f>
        <v>269791.36363636365</v>
      </c>
      <c r="F58" s="20">
        <f>E58*D58</f>
        <v>62052.013636363641</v>
      </c>
      <c r="G58" s="1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9" customFormat="1">
      <c r="A59" s="16" t="s">
        <v>91</v>
      </c>
      <c r="B59" s="19" t="s">
        <v>81</v>
      </c>
      <c r="C59" s="16" t="s">
        <v>92</v>
      </c>
      <c r="D59" s="16">
        <v>0.04</v>
      </c>
      <c r="E59" s="20">
        <f>'Biếu số 2'!G15</f>
        <v>208153.63636363635</v>
      </c>
      <c r="F59" s="20">
        <f>E59*D59</f>
        <v>8326.1454545454544</v>
      </c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9" customFormat="1">
      <c r="A60" s="16" t="s">
        <v>91</v>
      </c>
      <c r="B60" s="19" t="s">
        <v>82</v>
      </c>
      <c r="C60" s="16" t="s">
        <v>92</v>
      </c>
      <c r="D60" s="16">
        <v>0.02</v>
      </c>
      <c r="E60" s="20">
        <f>'Biếu số 2'!G9</f>
        <v>336481.36363636359</v>
      </c>
      <c r="F60" s="20">
        <f>E60*D60</f>
        <v>6729.6272727272717</v>
      </c>
      <c r="G60" s="1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8" customFormat="1" ht="31.5">
      <c r="A61" s="12">
        <v>5.4</v>
      </c>
      <c r="B61" s="15" t="s">
        <v>99</v>
      </c>
      <c r="C61" s="16"/>
      <c r="D61" s="16"/>
      <c r="E61" s="16"/>
      <c r="F61" s="17">
        <f>SUM(F62:F64)</f>
        <v>71711.959090909091</v>
      </c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9" customFormat="1">
      <c r="A62" s="16" t="s">
        <v>91</v>
      </c>
      <c r="B62" s="19" t="s">
        <v>80</v>
      </c>
      <c r="C62" s="16" t="s">
        <v>92</v>
      </c>
      <c r="D62" s="16">
        <v>0.21</v>
      </c>
      <c r="E62" s="20">
        <f>'Biếu số 2'!G7</f>
        <v>269791.36363636365</v>
      </c>
      <c r="F62" s="20">
        <f>E62*D62</f>
        <v>56656.186363636363</v>
      </c>
      <c r="G62" s="1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9" customFormat="1">
      <c r="A63" s="16" t="s">
        <v>91</v>
      </c>
      <c r="B63" s="19" t="s">
        <v>81</v>
      </c>
      <c r="C63" s="16" t="s">
        <v>92</v>
      </c>
      <c r="D63" s="16">
        <v>0.04</v>
      </c>
      <c r="E63" s="20">
        <f>'Biếu số 2'!G15</f>
        <v>208153.63636363635</v>
      </c>
      <c r="F63" s="20">
        <f>E63*D63</f>
        <v>8326.1454545454544</v>
      </c>
      <c r="G63" s="1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9" customFormat="1">
      <c r="A64" s="16" t="s">
        <v>91</v>
      </c>
      <c r="B64" s="19" t="s">
        <v>82</v>
      </c>
      <c r="C64" s="16" t="s">
        <v>92</v>
      </c>
      <c r="D64" s="16">
        <v>0.02</v>
      </c>
      <c r="E64" s="20">
        <f>'Biếu số 2'!G9</f>
        <v>336481.36363636359</v>
      </c>
      <c r="F64" s="20">
        <f>E64*D64</f>
        <v>6729.6272727272717</v>
      </c>
      <c r="G64" s="1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8" customFormat="1" ht="31.5">
      <c r="A65" s="12">
        <v>5.5</v>
      </c>
      <c r="B65" s="15" t="s">
        <v>100</v>
      </c>
      <c r="C65" s="16"/>
      <c r="D65" s="16"/>
      <c r="E65" s="16"/>
      <c r="F65" s="17">
        <f>SUM(F66:F68)</f>
        <v>42034.909090909096</v>
      </c>
      <c r="G65" s="1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9" customFormat="1">
      <c r="A66" s="16" t="s">
        <v>91</v>
      </c>
      <c r="B66" s="19" t="s">
        <v>80</v>
      </c>
      <c r="C66" s="16" t="s">
        <v>92</v>
      </c>
      <c r="D66" s="16">
        <v>0.1</v>
      </c>
      <c r="E66" s="20">
        <f>'Biếu số 2'!G7</f>
        <v>269791.36363636365</v>
      </c>
      <c r="F66" s="20">
        <f>E66*D66</f>
        <v>26979.136363636368</v>
      </c>
      <c r="G66" s="1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9" customFormat="1">
      <c r="A67" s="16" t="s">
        <v>91</v>
      </c>
      <c r="B67" s="19" t="s">
        <v>81</v>
      </c>
      <c r="C67" s="16" t="s">
        <v>92</v>
      </c>
      <c r="D67" s="16">
        <v>0.04</v>
      </c>
      <c r="E67" s="20">
        <f>'Biếu số 2'!G15</f>
        <v>208153.63636363635</v>
      </c>
      <c r="F67" s="20">
        <f>E67*D67</f>
        <v>8326.1454545454544</v>
      </c>
      <c r="G67" s="1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9" customFormat="1">
      <c r="A68" s="21" t="s">
        <v>91</v>
      </c>
      <c r="B68" s="22" t="s">
        <v>82</v>
      </c>
      <c r="C68" s="21" t="s">
        <v>92</v>
      </c>
      <c r="D68" s="21">
        <v>0.02</v>
      </c>
      <c r="E68" s="23">
        <f>'Biếu số 2'!G9</f>
        <v>336481.36363636359</v>
      </c>
      <c r="F68" s="23">
        <f>E68*D68</f>
        <v>6729.6272727272717</v>
      </c>
      <c r="G68" s="2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</sheetData>
  <mergeCells count="12">
    <mergeCell ref="C30:C31"/>
    <mergeCell ref="C33:C34"/>
    <mergeCell ref="A1:G1"/>
    <mergeCell ref="B25:D25"/>
    <mergeCell ref="C7:C8"/>
    <mergeCell ref="C10:C11"/>
    <mergeCell ref="C13:C14"/>
    <mergeCell ref="C16:C17"/>
    <mergeCell ref="C19:C20"/>
    <mergeCell ref="C22:C23"/>
    <mergeCell ref="A2:G2"/>
    <mergeCell ref="A3:G3"/>
  </mergeCells>
  <pageMargins left="0.7" right="0.19" top="0.33" bottom="0.36" header="0.3" footer="0.3"/>
  <pageSetup paperSize="9" scale="81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97"/>
  <sheetViews>
    <sheetView workbookViewId="0">
      <selection activeCell="A2" sqref="A2:I2"/>
    </sheetView>
  </sheetViews>
  <sheetFormatPr defaultColWidth="9" defaultRowHeight="15.75"/>
  <cols>
    <col min="1" max="1" width="5.109375" style="2" customWidth="1"/>
    <col min="2" max="2" width="26" style="2" customWidth="1"/>
    <col min="3" max="3" width="6.88671875" style="2" customWidth="1"/>
    <col min="4" max="4" width="7.77734375" style="2" customWidth="1"/>
    <col min="5" max="5" width="9" style="2" customWidth="1"/>
    <col min="6" max="6" width="11" style="2" customWidth="1"/>
    <col min="7" max="7" width="12.33203125" style="2" customWidth="1"/>
    <col min="8" max="8" width="10.88671875" style="2" customWidth="1"/>
    <col min="9" max="9" width="10.6640625" style="2" customWidth="1"/>
    <col min="10" max="10" width="36.21875" style="2" customWidth="1"/>
    <col min="11" max="11" width="27.5546875" style="2" customWidth="1"/>
    <col min="12" max="16380" width="8.88671875" style="2"/>
    <col min="16381" max="16384" width="9" style="2"/>
  </cols>
  <sheetData>
    <row r="1" spans="1:10" ht="22.5" customHeight="1">
      <c r="A1" s="281" t="s">
        <v>500</v>
      </c>
      <c r="B1" s="281"/>
      <c r="C1" s="281"/>
      <c r="D1" s="281"/>
      <c r="E1" s="281"/>
      <c r="F1" s="281"/>
      <c r="G1" s="281"/>
      <c r="H1" s="281"/>
      <c r="I1" s="281"/>
    </row>
    <row r="2" spans="1:10" ht="22.5" customHeight="1">
      <c r="A2" s="285"/>
      <c r="B2" s="281"/>
      <c r="C2" s="281"/>
      <c r="D2" s="281"/>
      <c r="E2" s="281"/>
      <c r="F2" s="281"/>
      <c r="G2" s="281"/>
      <c r="H2" s="281"/>
      <c r="I2" s="281"/>
    </row>
    <row r="3" spans="1:10" ht="22.5" customHeight="1">
      <c r="A3" s="287" t="s">
        <v>497</v>
      </c>
      <c r="B3" s="287"/>
      <c r="C3" s="287"/>
      <c r="D3" s="287"/>
      <c r="E3" s="287"/>
      <c r="F3" s="287"/>
      <c r="G3" s="287"/>
      <c r="H3" s="287"/>
      <c r="I3" s="287"/>
    </row>
    <row r="4" spans="1:10" ht="21" customHeight="1">
      <c r="A4" s="3" t="s">
        <v>101</v>
      </c>
      <c r="B4" s="3"/>
      <c r="C4" s="1"/>
      <c r="D4" s="1"/>
      <c r="E4" s="1"/>
      <c r="F4" s="1"/>
      <c r="G4" s="1"/>
      <c r="H4" s="4"/>
      <c r="I4" s="1"/>
    </row>
    <row r="5" spans="1:10" ht="21" customHeight="1">
      <c r="A5" s="288" t="s">
        <v>102</v>
      </c>
      <c r="B5" s="288"/>
      <c r="C5" s="288"/>
      <c r="D5" s="288"/>
      <c r="E5" s="288"/>
      <c r="F5" s="288"/>
      <c r="G5" s="288"/>
      <c r="H5" s="288"/>
      <c r="I5" s="288"/>
    </row>
    <row r="6" spans="1:10" s="96" customFormat="1" ht="41.25" customHeight="1">
      <c r="A6" s="290" t="s">
        <v>103</v>
      </c>
      <c r="B6" s="290" t="s">
        <v>104</v>
      </c>
      <c r="C6" s="290" t="s">
        <v>105</v>
      </c>
      <c r="D6" s="290" t="s">
        <v>106</v>
      </c>
      <c r="E6" s="290" t="s">
        <v>107</v>
      </c>
      <c r="F6" s="290" t="s">
        <v>490</v>
      </c>
      <c r="G6" s="290" t="s">
        <v>505</v>
      </c>
      <c r="H6" s="290" t="s">
        <v>504</v>
      </c>
      <c r="I6" s="290" t="s">
        <v>110</v>
      </c>
      <c r="J6" s="290" t="s">
        <v>43</v>
      </c>
    </row>
    <row r="7" spans="1:10" s="96" customFormat="1">
      <c r="A7" s="290"/>
      <c r="B7" s="290"/>
      <c r="C7" s="290"/>
      <c r="D7" s="290"/>
      <c r="E7" s="290"/>
      <c r="F7" s="290"/>
      <c r="G7" s="290"/>
      <c r="H7" s="290"/>
      <c r="I7" s="290"/>
      <c r="J7" s="290"/>
    </row>
    <row r="8" spans="1:10" s="96" customFormat="1" ht="5.25" hidden="1" customHeight="1">
      <c r="A8" s="290"/>
      <c r="B8" s="290"/>
      <c r="C8" s="290"/>
      <c r="D8" s="290"/>
      <c r="E8" s="290"/>
      <c r="F8" s="290"/>
      <c r="G8" s="290"/>
      <c r="H8" s="290"/>
      <c r="I8" s="290"/>
      <c r="J8" s="97"/>
    </row>
    <row r="9" spans="1:10" s="96" customFormat="1" ht="28.5" customHeight="1">
      <c r="A9" s="111">
        <v>1</v>
      </c>
      <c r="B9" s="101" t="s">
        <v>111</v>
      </c>
      <c r="C9" s="111" t="s">
        <v>112</v>
      </c>
      <c r="D9" s="100">
        <v>1</v>
      </c>
      <c r="E9" s="100">
        <v>10</v>
      </c>
      <c r="F9" s="112">
        <f>365*8</f>
        <v>2920</v>
      </c>
      <c r="G9" s="113">
        <v>290000</v>
      </c>
      <c r="H9" s="114">
        <f>G9/(E9*F9)</f>
        <v>9.9315068493150687</v>
      </c>
      <c r="I9" s="115">
        <f>H9*D9</f>
        <v>9.9315068493150687</v>
      </c>
      <c r="J9" s="300" t="s">
        <v>489</v>
      </c>
    </row>
    <row r="10" spans="1:10" s="96" customFormat="1" ht="28.5" customHeight="1">
      <c r="A10" s="111">
        <v>2</v>
      </c>
      <c r="B10" s="101" t="s">
        <v>113</v>
      </c>
      <c r="C10" s="111" t="s">
        <v>112</v>
      </c>
      <c r="D10" s="100">
        <v>1</v>
      </c>
      <c r="E10" s="100">
        <v>10</v>
      </c>
      <c r="F10" s="112">
        <f>365*8</f>
        <v>2920</v>
      </c>
      <c r="G10" s="116">
        <v>23200000</v>
      </c>
      <c r="H10" s="114">
        <f>G10/(E10*F10)</f>
        <v>794.52054794520552</v>
      </c>
      <c r="I10" s="115">
        <f>H10*D10</f>
        <v>794.52054794520552</v>
      </c>
      <c r="J10" s="304"/>
    </row>
    <row r="11" spans="1:10" s="96" customFormat="1" ht="48.75" customHeight="1">
      <c r="A11" s="111">
        <v>3</v>
      </c>
      <c r="B11" s="101" t="s">
        <v>114</v>
      </c>
      <c r="C11" s="111" t="s">
        <v>112</v>
      </c>
      <c r="D11" s="100">
        <v>1</v>
      </c>
      <c r="E11" s="100">
        <v>10</v>
      </c>
      <c r="F11" s="112">
        <f>365*8</f>
        <v>2920</v>
      </c>
      <c r="G11" s="116">
        <v>200000</v>
      </c>
      <c r="H11" s="114">
        <f>G11/(E11*F11)</f>
        <v>6.8493150684931505</v>
      </c>
      <c r="I11" s="115">
        <f>H11*D11</f>
        <v>6.8493150684931505</v>
      </c>
      <c r="J11" s="305"/>
    </row>
    <row r="12" spans="1:10" s="96" customFormat="1" ht="18" customHeight="1">
      <c r="A12" s="117"/>
      <c r="B12" s="118" t="s">
        <v>9</v>
      </c>
      <c r="C12" s="119"/>
      <c r="D12" s="119"/>
      <c r="E12" s="119"/>
      <c r="F12" s="119"/>
      <c r="G12" s="119"/>
      <c r="H12" s="119"/>
      <c r="I12" s="120">
        <f>SUM(I9:I11)</f>
        <v>811.30136986301375</v>
      </c>
      <c r="J12" s="97"/>
    </row>
    <row r="13" spans="1:10" s="96" customFormat="1" ht="21.75" customHeight="1">
      <c r="A13" s="121" t="s">
        <v>115</v>
      </c>
      <c r="B13" s="121"/>
      <c r="H13" s="122"/>
    </row>
    <row r="14" spans="1:10" s="96" customFormat="1" ht="36" customHeight="1">
      <c r="A14" s="290" t="s">
        <v>103</v>
      </c>
      <c r="B14" s="290" t="s">
        <v>104</v>
      </c>
      <c r="C14" s="290" t="s">
        <v>105</v>
      </c>
      <c r="D14" s="290" t="s">
        <v>106</v>
      </c>
      <c r="E14" s="290" t="s">
        <v>107</v>
      </c>
      <c r="F14" s="290" t="s">
        <v>490</v>
      </c>
      <c r="G14" s="290" t="s">
        <v>108</v>
      </c>
      <c r="H14" s="290" t="s">
        <v>109</v>
      </c>
      <c r="I14" s="290" t="s">
        <v>110</v>
      </c>
      <c r="J14" s="296" t="s">
        <v>43</v>
      </c>
    </row>
    <row r="15" spans="1:10" s="96" customFormat="1">
      <c r="A15" s="290"/>
      <c r="B15" s="290"/>
      <c r="C15" s="290"/>
      <c r="D15" s="290"/>
      <c r="E15" s="290"/>
      <c r="F15" s="290"/>
      <c r="G15" s="290"/>
      <c r="H15" s="290"/>
      <c r="I15" s="290"/>
      <c r="J15" s="296"/>
    </row>
    <row r="16" spans="1:10" s="96" customFormat="1">
      <c r="A16" s="290"/>
      <c r="B16" s="290"/>
      <c r="C16" s="290"/>
      <c r="D16" s="290"/>
      <c r="E16" s="290"/>
      <c r="F16" s="290"/>
      <c r="G16" s="290"/>
      <c r="H16" s="290"/>
      <c r="I16" s="290"/>
      <c r="J16" s="296"/>
    </row>
    <row r="17" spans="1:11" s="96" customFormat="1" ht="42.75" customHeight="1">
      <c r="A17" s="111">
        <v>1</v>
      </c>
      <c r="B17" s="101" t="s">
        <v>116</v>
      </c>
      <c r="C17" s="111" t="s">
        <v>112</v>
      </c>
      <c r="D17" s="100">
        <v>1</v>
      </c>
      <c r="E17" s="100">
        <v>10</v>
      </c>
      <c r="F17" s="112">
        <f>365*8</f>
        <v>2920</v>
      </c>
      <c r="G17" s="113">
        <v>9500000</v>
      </c>
      <c r="H17" s="114">
        <f>G17/(E17*F17)</f>
        <v>325.34246575342468</v>
      </c>
      <c r="I17" s="115">
        <f t="shared" ref="I17:I27" si="0">H17*D17</f>
        <v>325.34246575342468</v>
      </c>
      <c r="J17" s="135" t="s">
        <v>512</v>
      </c>
    </row>
    <row r="18" spans="1:11" s="96" customFormat="1" ht="41.25" customHeight="1">
      <c r="A18" s="111">
        <v>2</v>
      </c>
      <c r="B18" s="107" t="s">
        <v>117</v>
      </c>
      <c r="C18" s="111" t="s">
        <v>112</v>
      </c>
      <c r="D18" s="100">
        <v>0.3</v>
      </c>
      <c r="E18" s="100">
        <v>10</v>
      </c>
      <c r="F18" s="112">
        <f>365*8</f>
        <v>2920</v>
      </c>
      <c r="G18" s="123">
        <v>34800000</v>
      </c>
      <c r="H18" s="114">
        <f t="shared" ref="H18:H27" si="1">G18/(E18*F18)</f>
        <v>1191.7808219178082</v>
      </c>
      <c r="I18" s="115">
        <f t="shared" si="0"/>
        <v>357.53424657534248</v>
      </c>
      <c r="J18" s="135" t="s">
        <v>513</v>
      </c>
    </row>
    <row r="19" spans="1:11" s="96" customFormat="1" ht="41.25" customHeight="1">
      <c r="A19" s="111">
        <v>3</v>
      </c>
      <c r="B19" s="107" t="s">
        <v>118</v>
      </c>
      <c r="C19" s="111" t="s">
        <v>112</v>
      </c>
      <c r="D19" s="100">
        <v>20</v>
      </c>
      <c r="E19" s="100">
        <v>10</v>
      </c>
      <c r="F19" s="112">
        <f>365*8</f>
        <v>2920</v>
      </c>
      <c r="G19" s="123">
        <v>17500000</v>
      </c>
      <c r="H19" s="114">
        <f>G19/(E19*F19)/10</f>
        <v>59.931506849315063</v>
      </c>
      <c r="I19" s="115">
        <f t="shared" si="0"/>
        <v>1198.6301369863013</v>
      </c>
      <c r="J19" s="135" t="s">
        <v>514</v>
      </c>
      <c r="K19" s="139" t="s">
        <v>119</v>
      </c>
    </row>
    <row r="20" spans="1:11" s="96" customFormat="1" ht="41.25" customHeight="1">
      <c r="A20" s="111">
        <v>4</v>
      </c>
      <c r="B20" s="107" t="s">
        <v>120</v>
      </c>
      <c r="C20" s="111" t="s">
        <v>112</v>
      </c>
      <c r="D20" s="100">
        <v>4320</v>
      </c>
      <c r="E20" s="100">
        <v>10</v>
      </c>
      <c r="F20" s="112">
        <f>365*24</f>
        <v>8760</v>
      </c>
      <c r="G20" s="123">
        <v>9700000</v>
      </c>
      <c r="H20" s="114">
        <f>G20/(E20*F20)/100</f>
        <v>1.1073059360730593</v>
      </c>
      <c r="I20" s="115">
        <f t="shared" si="0"/>
        <v>4783.5616438356165</v>
      </c>
      <c r="J20" s="135" t="s">
        <v>515</v>
      </c>
      <c r="K20" s="139" t="s">
        <v>121</v>
      </c>
    </row>
    <row r="21" spans="1:11" s="96" customFormat="1" ht="41.25" customHeight="1">
      <c r="A21" s="111">
        <v>5</v>
      </c>
      <c r="B21" s="107" t="s">
        <v>122</v>
      </c>
      <c r="C21" s="111" t="s">
        <v>112</v>
      </c>
      <c r="D21" s="100">
        <v>240</v>
      </c>
      <c r="E21" s="100">
        <v>10</v>
      </c>
      <c r="F21" s="112">
        <f t="shared" ref="F21:F27" si="2">365*8</f>
        <v>2920</v>
      </c>
      <c r="G21" s="123">
        <v>90000000</v>
      </c>
      <c r="H21" s="114">
        <f>G21/(E21*F21)/10</f>
        <v>308.21917808219177</v>
      </c>
      <c r="I21" s="115">
        <f t="shared" si="0"/>
        <v>73972.602739726019</v>
      </c>
      <c r="J21" s="135" t="s">
        <v>516</v>
      </c>
      <c r="K21" s="139" t="s">
        <v>119</v>
      </c>
    </row>
    <row r="22" spans="1:11" s="96" customFormat="1" ht="41.25" customHeight="1">
      <c r="A22" s="111">
        <v>6</v>
      </c>
      <c r="B22" s="107" t="s">
        <v>123</v>
      </c>
      <c r="C22" s="111" t="s">
        <v>112</v>
      </c>
      <c r="D22" s="100">
        <v>0.83</v>
      </c>
      <c r="E22" s="100">
        <v>10</v>
      </c>
      <c r="F22" s="112">
        <f t="shared" si="2"/>
        <v>2920</v>
      </c>
      <c r="G22" s="123">
        <v>22000000</v>
      </c>
      <c r="H22" s="114">
        <f t="shared" si="1"/>
        <v>753.42465753424653</v>
      </c>
      <c r="I22" s="115">
        <f t="shared" si="0"/>
        <v>625.34246575342456</v>
      </c>
      <c r="J22" s="135" t="s">
        <v>517</v>
      </c>
    </row>
    <row r="23" spans="1:11" s="96" customFormat="1" ht="41.25" customHeight="1">
      <c r="A23" s="111">
        <v>7</v>
      </c>
      <c r="B23" s="107" t="s">
        <v>124</v>
      </c>
      <c r="C23" s="111" t="s">
        <v>112</v>
      </c>
      <c r="D23" s="100">
        <v>0.83</v>
      </c>
      <c r="E23" s="100">
        <v>10</v>
      </c>
      <c r="F23" s="112">
        <f t="shared" si="2"/>
        <v>2920</v>
      </c>
      <c r="G23" s="123">
        <v>15000000</v>
      </c>
      <c r="H23" s="114">
        <f t="shared" si="1"/>
        <v>513.69863013698625</v>
      </c>
      <c r="I23" s="115">
        <f t="shared" si="0"/>
        <v>426.36986301369859</v>
      </c>
      <c r="J23" s="135" t="s">
        <v>518</v>
      </c>
    </row>
    <row r="24" spans="1:11" s="96" customFormat="1" ht="28.5" customHeight="1">
      <c r="A24" s="111">
        <v>8</v>
      </c>
      <c r="B24" s="107" t="s">
        <v>125</v>
      </c>
      <c r="C24" s="111" t="s">
        <v>112</v>
      </c>
      <c r="D24" s="100">
        <v>0.83</v>
      </c>
      <c r="E24" s="100">
        <v>10</v>
      </c>
      <c r="F24" s="112">
        <f t="shared" si="2"/>
        <v>2920</v>
      </c>
      <c r="G24" s="123">
        <v>270000</v>
      </c>
      <c r="H24" s="114">
        <f>G24/(E24*F24)</f>
        <v>9.2465753424657535</v>
      </c>
      <c r="I24" s="115">
        <f t="shared" si="0"/>
        <v>7.6746575342465748</v>
      </c>
      <c r="J24" s="300" t="s">
        <v>489</v>
      </c>
    </row>
    <row r="25" spans="1:11" s="96" customFormat="1" ht="28.5" customHeight="1">
      <c r="A25" s="111">
        <v>9</v>
      </c>
      <c r="B25" s="107" t="s">
        <v>126</v>
      </c>
      <c r="C25" s="111" t="s">
        <v>112</v>
      </c>
      <c r="D25" s="100">
        <v>0.83</v>
      </c>
      <c r="E25" s="100">
        <v>10</v>
      </c>
      <c r="F25" s="112">
        <f t="shared" si="2"/>
        <v>2920</v>
      </c>
      <c r="G25" s="123">
        <v>250000</v>
      </c>
      <c r="H25" s="114">
        <f t="shared" si="1"/>
        <v>8.5616438356164384</v>
      </c>
      <c r="I25" s="115">
        <f t="shared" si="0"/>
        <v>7.1061643835616435</v>
      </c>
      <c r="J25" s="301"/>
    </row>
    <row r="26" spans="1:11" s="96" customFormat="1" ht="36" customHeight="1">
      <c r="A26" s="111">
        <v>10</v>
      </c>
      <c r="B26" s="107" t="s">
        <v>113</v>
      </c>
      <c r="C26" s="111" t="s">
        <v>112</v>
      </c>
      <c r="D26" s="100">
        <v>1</v>
      </c>
      <c r="E26" s="100">
        <v>10</v>
      </c>
      <c r="F26" s="112">
        <f t="shared" si="2"/>
        <v>2920</v>
      </c>
      <c r="G26" s="123">
        <f>G10</f>
        <v>23200000</v>
      </c>
      <c r="H26" s="114">
        <f t="shared" si="1"/>
        <v>794.52054794520552</v>
      </c>
      <c r="I26" s="115">
        <f t="shared" si="0"/>
        <v>794.52054794520552</v>
      </c>
      <c r="J26" s="301"/>
    </row>
    <row r="27" spans="1:11" s="96" customFormat="1" ht="28.5" customHeight="1">
      <c r="A27" s="111">
        <v>11</v>
      </c>
      <c r="B27" s="107" t="s">
        <v>127</v>
      </c>
      <c r="C27" s="111" t="s">
        <v>112</v>
      </c>
      <c r="D27" s="100">
        <v>1.67</v>
      </c>
      <c r="E27" s="100">
        <v>10</v>
      </c>
      <c r="F27" s="112">
        <f t="shared" si="2"/>
        <v>2920</v>
      </c>
      <c r="G27" s="123">
        <v>150000</v>
      </c>
      <c r="H27" s="114">
        <f t="shared" si="1"/>
        <v>5.1369863013698627</v>
      </c>
      <c r="I27" s="115">
        <f t="shared" si="0"/>
        <v>8.5787671232876708</v>
      </c>
      <c r="J27" s="302"/>
    </row>
    <row r="28" spans="1:11" s="99" customFormat="1" ht="26.25" customHeight="1">
      <c r="A28" s="108"/>
      <c r="B28" s="102" t="s">
        <v>9</v>
      </c>
      <c r="C28" s="108"/>
      <c r="D28" s="110"/>
      <c r="E28" s="110"/>
      <c r="F28" s="124"/>
      <c r="G28" s="125"/>
      <c r="H28" s="126"/>
      <c r="I28" s="104">
        <f>SUM(I17:I27)</f>
        <v>82507.263698630108</v>
      </c>
      <c r="J28" s="98"/>
    </row>
    <row r="29" spans="1:11" s="96" customFormat="1" ht="28.5" customHeight="1">
      <c r="A29" s="127" t="s">
        <v>128</v>
      </c>
    </row>
    <row r="30" spans="1:11" s="96" customFormat="1" ht="40.5" customHeight="1">
      <c r="A30" s="289" t="s">
        <v>479</v>
      </c>
      <c r="B30" s="289"/>
      <c r="C30" s="289"/>
      <c r="D30" s="289"/>
      <c r="E30" s="289"/>
      <c r="F30" s="289"/>
      <c r="G30" s="289"/>
      <c r="H30" s="289"/>
      <c r="I30" s="289"/>
    </row>
    <row r="31" spans="1:11" s="96" customFormat="1" ht="35.25" customHeight="1">
      <c r="A31" s="290" t="s">
        <v>1</v>
      </c>
      <c r="B31" s="290" t="s">
        <v>129</v>
      </c>
      <c r="C31" s="290" t="s">
        <v>130</v>
      </c>
      <c r="D31" s="292" t="s">
        <v>131</v>
      </c>
      <c r="E31" s="290" t="s">
        <v>132</v>
      </c>
      <c r="F31" s="290" t="s">
        <v>490</v>
      </c>
      <c r="G31" s="292" t="s">
        <v>133</v>
      </c>
      <c r="H31" s="290" t="s">
        <v>109</v>
      </c>
      <c r="I31" s="292" t="s">
        <v>134</v>
      </c>
      <c r="J31" s="290" t="s">
        <v>43</v>
      </c>
    </row>
    <row r="32" spans="1:11" s="96" customFormat="1" ht="36" customHeight="1">
      <c r="A32" s="290"/>
      <c r="B32" s="290"/>
      <c r="C32" s="290"/>
      <c r="D32" s="293"/>
      <c r="E32" s="290"/>
      <c r="F32" s="290"/>
      <c r="G32" s="293"/>
      <c r="H32" s="290"/>
      <c r="I32" s="293"/>
      <c r="J32" s="290"/>
    </row>
    <row r="33" spans="1:10" s="96" customFormat="1">
      <c r="A33" s="111">
        <v>1</v>
      </c>
      <c r="B33" s="101" t="s">
        <v>480</v>
      </c>
      <c r="C33" s="111" t="s">
        <v>135</v>
      </c>
      <c r="D33" s="111">
        <v>28</v>
      </c>
      <c r="E33" s="111">
        <v>5</v>
      </c>
      <c r="F33" s="128">
        <f>365*8</f>
        <v>2920</v>
      </c>
      <c r="G33" s="129">
        <v>12900000</v>
      </c>
      <c r="H33" s="130">
        <f t="shared" ref="H33:H41" si="3">G33/F33/E33</f>
        <v>883.56164383561645</v>
      </c>
      <c r="I33" s="131">
        <f>H33*D33</f>
        <v>24739.726027397261</v>
      </c>
      <c r="J33" s="97" t="s">
        <v>511</v>
      </c>
    </row>
    <row r="34" spans="1:10" s="96" customFormat="1" ht="21" customHeight="1">
      <c r="A34" s="111">
        <v>2</v>
      </c>
      <c r="B34" s="101" t="s">
        <v>137</v>
      </c>
      <c r="C34" s="111" t="s">
        <v>135</v>
      </c>
      <c r="D34" s="111">
        <v>0.2</v>
      </c>
      <c r="E34" s="111">
        <v>8</v>
      </c>
      <c r="F34" s="128">
        <f t="shared" ref="F34:F41" si="4">365*8</f>
        <v>2920</v>
      </c>
      <c r="G34" s="129">
        <v>34000000</v>
      </c>
      <c r="H34" s="130">
        <f t="shared" si="3"/>
        <v>1455.4794520547946</v>
      </c>
      <c r="I34" s="131">
        <f>H34*D34</f>
        <v>291.09589041095893</v>
      </c>
      <c r="J34" s="97" t="s">
        <v>519</v>
      </c>
    </row>
    <row r="35" spans="1:10" s="96" customFormat="1" ht="21" customHeight="1">
      <c r="A35" s="111">
        <v>3</v>
      </c>
      <c r="B35" s="101" t="s">
        <v>144</v>
      </c>
      <c r="C35" s="111" t="s">
        <v>135</v>
      </c>
      <c r="D35" s="111">
        <v>10.4</v>
      </c>
      <c r="E35" s="111">
        <v>8</v>
      </c>
      <c r="F35" s="128">
        <f t="shared" si="4"/>
        <v>2920</v>
      </c>
      <c r="G35" s="129">
        <v>17260000</v>
      </c>
      <c r="H35" s="130">
        <f t="shared" si="3"/>
        <v>738.86986301369859</v>
      </c>
      <c r="I35" s="131">
        <f>H35*D35</f>
        <v>7684.2465753424658</v>
      </c>
      <c r="J35" s="97" t="s">
        <v>520</v>
      </c>
    </row>
    <row r="36" spans="1:10" s="146" customFormat="1" ht="21" customHeight="1">
      <c r="A36" s="111">
        <v>4</v>
      </c>
      <c r="B36" s="141" t="s">
        <v>136</v>
      </c>
      <c r="C36" s="140" t="s">
        <v>135</v>
      </c>
      <c r="D36" s="140">
        <v>0.1</v>
      </c>
      <c r="E36" s="140">
        <v>5</v>
      </c>
      <c r="F36" s="142">
        <f t="shared" si="4"/>
        <v>2920</v>
      </c>
      <c r="G36" s="143">
        <v>6500000</v>
      </c>
      <c r="H36" s="144">
        <f t="shared" si="3"/>
        <v>445.20547945205482</v>
      </c>
      <c r="I36" s="145">
        <f t="shared" ref="I36:I41" si="5">H36*D36</f>
        <v>44.520547945205486</v>
      </c>
      <c r="J36" s="303" t="s">
        <v>491</v>
      </c>
    </row>
    <row r="37" spans="1:10" s="146" customFormat="1" ht="21" customHeight="1">
      <c r="A37" s="111">
        <v>5</v>
      </c>
      <c r="B37" s="141" t="s">
        <v>138</v>
      </c>
      <c r="C37" s="140" t="s">
        <v>135</v>
      </c>
      <c r="D37" s="140">
        <v>0.2</v>
      </c>
      <c r="E37" s="140">
        <v>5</v>
      </c>
      <c r="F37" s="142">
        <f t="shared" si="4"/>
        <v>2920</v>
      </c>
      <c r="G37" s="143">
        <v>3580000</v>
      </c>
      <c r="H37" s="144">
        <f t="shared" si="3"/>
        <v>245.20547945205482</v>
      </c>
      <c r="I37" s="145">
        <f t="shared" si="5"/>
        <v>49.041095890410965</v>
      </c>
      <c r="J37" s="303"/>
    </row>
    <row r="38" spans="1:10" s="146" customFormat="1" ht="21" customHeight="1">
      <c r="A38" s="111">
        <v>6</v>
      </c>
      <c r="B38" s="141" t="s">
        <v>139</v>
      </c>
      <c r="C38" s="140" t="s">
        <v>135</v>
      </c>
      <c r="D38" s="140">
        <v>10.4</v>
      </c>
      <c r="E38" s="140">
        <v>8</v>
      </c>
      <c r="F38" s="142">
        <f t="shared" si="4"/>
        <v>2920</v>
      </c>
      <c r="G38" s="143">
        <v>2500000</v>
      </c>
      <c r="H38" s="144">
        <f t="shared" si="3"/>
        <v>107.02054794520548</v>
      </c>
      <c r="I38" s="145">
        <f>H38*D38</f>
        <v>1113.013698630137</v>
      </c>
      <c r="J38" s="303"/>
    </row>
    <row r="39" spans="1:10" s="146" customFormat="1" ht="21" customHeight="1">
      <c r="A39" s="111">
        <v>7</v>
      </c>
      <c r="B39" s="141" t="s">
        <v>140</v>
      </c>
      <c r="C39" s="140" t="s">
        <v>135</v>
      </c>
      <c r="D39" s="140">
        <v>10.4</v>
      </c>
      <c r="E39" s="140">
        <v>8</v>
      </c>
      <c r="F39" s="142">
        <f t="shared" si="4"/>
        <v>2920</v>
      </c>
      <c r="G39" s="143">
        <v>850000</v>
      </c>
      <c r="H39" s="144">
        <f t="shared" si="3"/>
        <v>36.386986301369866</v>
      </c>
      <c r="I39" s="145">
        <f t="shared" si="5"/>
        <v>378.42465753424665</v>
      </c>
      <c r="J39" s="303"/>
    </row>
    <row r="40" spans="1:10" s="146" customFormat="1" ht="21" customHeight="1">
      <c r="A40" s="111">
        <v>8</v>
      </c>
      <c r="B40" s="141" t="s">
        <v>141</v>
      </c>
      <c r="C40" s="140" t="s">
        <v>135</v>
      </c>
      <c r="D40" s="140">
        <v>10.4</v>
      </c>
      <c r="E40" s="140">
        <v>5</v>
      </c>
      <c r="F40" s="142">
        <f t="shared" si="4"/>
        <v>2920</v>
      </c>
      <c r="G40" s="143">
        <v>745000</v>
      </c>
      <c r="H40" s="144">
        <f t="shared" si="3"/>
        <v>51.027397260273972</v>
      </c>
      <c r="I40" s="145">
        <f t="shared" si="5"/>
        <v>530.68493150684935</v>
      </c>
      <c r="J40" s="303"/>
    </row>
    <row r="41" spans="1:10" s="146" customFormat="1" ht="21" customHeight="1">
      <c r="A41" s="111">
        <v>9</v>
      </c>
      <c r="B41" s="141" t="s">
        <v>142</v>
      </c>
      <c r="C41" s="140" t="s">
        <v>143</v>
      </c>
      <c r="D41" s="140">
        <v>10.4</v>
      </c>
      <c r="E41" s="140">
        <v>5</v>
      </c>
      <c r="F41" s="142">
        <f t="shared" si="4"/>
        <v>2920</v>
      </c>
      <c r="G41" s="143">
        <v>150000</v>
      </c>
      <c r="H41" s="144">
        <f t="shared" si="3"/>
        <v>10.273972602739725</v>
      </c>
      <c r="I41" s="145">
        <f t="shared" si="5"/>
        <v>106.84931506849314</v>
      </c>
      <c r="J41" s="303"/>
    </row>
    <row r="42" spans="1:10" s="149" customFormat="1" ht="24.75" customHeight="1">
      <c r="A42" s="132"/>
      <c r="B42" s="110" t="s">
        <v>9</v>
      </c>
      <c r="C42" s="147"/>
      <c r="D42" s="147"/>
      <c r="E42" s="147"/>
      <c r="F42" s="147"/>
      <c r="G42" s="147"/>
      <c r="H42" s="147"/>
      <c r="I42" s="148">
        <f>SUM(I33:I41)</f>
        <v>34937.602739726026</v>
      </c>
      <c r="J42" s="129"/>
    </row>
    <row r="43" spans="1:10" s="96" customFormat="1" ht="40.5" customHeight="1">
      <c r="A43" s="127" t="s">
        <v>145</v>
      </c>
    </row>
    <row r="44" spans="1:10" s="96" customFormat="1" ht="36.75" customHeight="1">
      <c r="A44" s="290" t="s">
        <v>1</v>
      </c>
      <c r="B44" s="290" t="s">
        <v>129</v>
      </c>
      <c r="C44" s="290" t="s">
        <v>130</v>
      </c>
      <c r="D44" s="292" t="s">
        <v>131</v>
      </c>
      <c r="E44" s="290" t="s">
        <v>132</v>
      </c>
      <c r="F44" s="290" t="s">
        <v>490</v>
      </c>
      <c r="G44" s="292" t="s">
        <v>133</v>
      </c>
      <c r="H44" s="290" t="s">
        <v>109</v>
      </c>
      <c r="I44" s="292" t="s">
        <v>134</v>
      </c>
      <c r="J44" s="292" t="s">
        <v>43</v>
      </c>
    </row>
    <row r="45" spans="1:10" s="96" customFormat="1">
      <c r="A45" s="290"/>
      <c r="B45" s="290"/>
      <c r="C45" s="290"/>
      <c r="D45" s="293"/>
      <c r="E45" s="290"/>
      <c r="F45" s="290"/>
      <c r="G45" s="293"/>
      <c r="H45" s="290"/>
      <c r="I45" s="293"/>
      <c r="J45" s="293"/>
    </row>
    <row r="46" spans="1:10" s="96" customFormat="1">
      <c r="A46" s="111">
        <v>1</v>
      </c>
      <c r="B46" s="101" t="s">
        <v>480</v>
      </c>
      <c r="C46" s="111" t="s">
        <v>135</v>
      </c>
      <c r="D46" s="111">
        <v>41.6</v>
      </c>
      <c r="E46" s="111">
        <v>5</v>
      </c>
      <c r="F46" s="128">
        <f>365*8</f>
        <v>2920</v>
      </c>
      <c r="G46" s="129">
        <v>12900000</v>
      </c>
      <c r="H46" s="129">
        <f>G46/F46/E46</f>
        <v>883.56164383561645</v>
      </c>
      <c r="I46" s="131">
        <f>H46*D46</f>
        <v>36756.164383561649</v>
      </c>
      <c r="J46" s="96" t="s">
        <v>511</v>
      </c>
    </row>
    <row r="47" spans="1:10" s="96" customFormat="1">
      <c r="A47" s="111">
        <v>3</v>
      </c>
      <c r="B47" s="101" t="s">
        <v>137</v>
      </c>
      <c r="C47" s="111" t="s">
        <v>135</v>
      </c>
      <c r="D47" s="111">
        <v>0.2</v>
      </c>
      <c r="E47" s="111">
        <v>8</v>
      </c>
      <c r="F47" s="128">
        <f t="shared" ref="F47:F54" si="6">365*8</f>
        <v>2920</v>
      </c>
      <c r="G47" s="129">
        <v>34000000</v>
      </c>
      <c r="H47" s="129">
        <f t="shared" ref="H47:H54" si="7">G47/F47/E47</f>
        <v>1455.4794520547946</v>
      </c>
      <c r="I47" s="131">
        <f t="shared" ref="I47:I54" si="8">H47*D47</f>
        <v>291.09589041095893</v>
      </c>
      <c r="J47" s="97" t="s">
        <v>519</v>
      </c>
    </row>
    <row r="48" spans="1:10" s="96" customFormat="1">
      <c r="A48" s="111">
        <v>9</v>
      </c>
      <c r="B48" s="101" t="s">
        <v>144</v>
      </c>
      <c r="C48" s="111" t="s">
        <v>135</v>
      </c>
      <c r="D48" s="111">
        <v>10.4</v>
      </c>
      <c r="E48" s="111">
        <v>8</v>
      </c>
      <c r="F48" s="128">
        <f t="shared" si="6"/>
        <v>2920</v>
      </c>
      <c r="G48" s="129">
        <v>17260000</v>
      </c>
      <c r="H48" s="129">
        <f>G48/F48/E48</f>
        <v>738.86986301369859</v>
      </c>
      <c r="I48" s="131">
        <f>H48*D48</f>
        <v>7684.2465753424658</v>
      </c>
      <c r="J48" s="97" t="s">
        <v>520</v>
      </c>
    </row>
    <row r="49" spans="1:10" s="96" customFormat="1">
      <c r="A49" s="111">
        <v>2</v>
      </c>
      <c r="B49" s="101" t="s">
        <v>136</v>
      </c>
      <c r="C49" s="111" t="s">
        <v>135</v>
      </c>
      <c r="D49" s="111">
        <v>0.1</v>
      </c>
      <c r="E49" s="111">
        <v>5</v>
      </c>
      <c r="F49" s="128">
        <f t="shared" si="6"/>
        <v>2920</v>
      </c>
      <c r="G49" s="129">
        <v>6500000</v>
      </c>
      <c r="H49" s="129">
        <f>G49/F49/E49</f>
        <v>445.20547945205482</v>
      </c>
      <c r="I49" s="131">
        <f>H49*D49</f>
        <v>44.520547945205486</v>
      </c>
      <c r="J49" s="306" t="s">
        <v>491</v>
      </c>
    </row>
    <row r="50" spans="1:10" s="96" customFormat="1">
      <c r="A50" s="111">
        <v>4</v>
      </c>
      <c r="B50" s="101" t="s">
        <v>138</v>
      </c>
      <c r="C50" s="111" t="s">
        <v>135</v>
      </c>
      <c r="D50" s="111">
        <v>0.2</v>
      </c>
      <c r="E50" s="111">
        <v>5</v>
      </c>
      <c r="F50" s="128">
        <f t="shared" si="6"/>
        <v>2920</v>
      </c>
      <c r="G50" s="129">
        <v>3580000</v>
      </c>
      <c r="H50" s="129">
        <f t="shared" si="7"/>
        <v>245.20547945205482</v>
      </c>
      <c r="I50" s="131">
        <f t="shared" si="8"/>
        <v>49.041095890410965</v>
      </c>
      <c r="J50" s="307"/>
    </row>
    <row r="51" spans="1:10" s="96" customFormat="1" ht="15.75" customHeight="1">
      <c r="A51" s="111">
        <v>5</v>
      </c>
      <c r="B51" s="101" t="s">
        <v>139</v>
      </c>
      <c r="C51" s="111" t="s">
        <v>135</v>
      </c>
      <c r="D51" s="111">
        <v>10.4</v>
      </c>
      <c r="E51" s="111">
        <v>8</v>
      </c>
      <c r="F51" s="128">
        <f t="shared" si="6"/>
        <v>2920</v>
      </c>
      <c r="G51" s="129">
        <v>2500000</v>
      </c>
      <c r="H51" s="129">
        <f t="shared" si="7"/>
        <v>107.02054794520548</v>
      </c>
      <c r="I51" s="131">
        <f t="shared" si="8"/>
        <v>1113.013698630137</v>
      </c>
      <c r="J51" s="307"/>
    </row>
    <row r="52" spans="1:10" s="96" customFormat="1" ht="15.75" customHeight="1">
      <c r="A52" s="111">
        <v>6</v>
      </c>
      <c r="B52" s="101" t="s">
        <v>140</v>
      </c>
      <c r="C52" s="111" t="s">
        <v>135</v>
      </c>
      <c r="D52" s="111">
        <v>10.4</v>
      </c>
      <c r="E52" s="111">
        <v>8</v>
      </c>
      <c r="F52" s="128">
        <f t="shared" si="6"/>
        <v>2920</v>
      </c>
      <c r="G52" s="129">
        <v>850000</v>
      </c>
      <c r="H52" s="129">
        <f t="shared" si="7"/>
        <v>36.386986301369866</v>
      </c>
      <c r="I52" s="131">
        <f t="shared" si="8"/>
        <v>378.42465753424665</v>
      </c>
      <c r="J52" s="307"/>
    </row>
    <row r="53" spans="1:10" s="96" customFormat="1" ht="15.75" customHeight="1">
      <c r="A53" s="111">
        <v>7</v>
      </c>
      <c r="B53" s="101" t="s">
        <v>141</v>
      </c>
      <c r="C53" s="111" t="s">
        <v>135</v>
      </c>
      <c r="D53" s="111">
        <v>10.4</v>
      </c>
      <c r="E53" s="111">
        <v>5</v>
      </c>
      <c r="F53" s="128">
        <f t="shared" si="6"/>
        <v>2920</v>
      </c>
      <c r="G53" s="129">
        <v>745000</v>
      </c>
      <c r="H53" s="129">
        <f t="shared" si="7"/>
        <v>51.027397260273972</v>
      </c>
      <c r="I53" s="131">
        <f t="shared" si="8"/>
        <v>530.68493150684935</v>
      </c>
      <c r="J53" s="307"/>
    </row>
    <row r="54" spans="1:10" s="96" customFormat="1" ht="15.75" customHeight="1">
      <c r="A54" s="111">
        <v>8</v>
      </c>
      <c r="B54" s="101" t="s">
        <v>142</v>
      </c>
      <c r="C54" s="111" t="s">
        <v>143</v>
      </c>
      <c r="D54" s="111">
        <v>10.4</v>
      </c>
      <c r="E54" s="111">
        <v>5</v>
      </c>
      <c r="F54" s="128">
        <f t="shared" si="6"/>
        <v>2920</v>
      </c>
      <c r="G54" s="129">
        <v>150000</v>
      </c>
      <c r="H54" s="129">
        <f t="shared" si="7"/>
        <v>10.273972602739725</v>
      </c>
      <c r="I54" s="131">
        <f t="shared" si="8"/>
        <v>106.84931506849314</v>
      </c>
      <c r="J54" s="308"/>
    </row>
    <row r="55" spans="1:10" s="96" customFormat="1">
      <c r="A55" s="132"/>
      <c r="B55" s="133" t="s">
        <v>9</v>
      </c>
      <c r="C55" s="97"/>
      <c r="D55" s="97"/>
      <c r="E55" s="97"/>
      <c r="F55" s="97"/>
      <c r="G55" s="97"/>
      <c r="H55" s="120"/>
      <c r="I55" s="120">
        <f>SUM(I46:I54)</f>
        <v>46954.041095890418</v>
      </c>
      <c r="J55" s="111"/>
    </row>
    <row r="56" spans="1:10" s="96" customFormat="1">
      <c r="A56" s="127" t="s">
        <v>481</v>
      </c>
    </row>
    <row r="57" spans="1:10" s="96" customFormat="1" ht="54.75" customHeight="1">
      <c r="A57" s="290" t="s">
        <v>1</v>
      </c>
      <c r="B57" s="290" t="s">
        <v>129</v>
      </c>
      <c r="C57" s="290" t="s">
        <v>130</v>
      </c>
      <c r="D57" s="292" t="s">
        <v>131</v>
      </c>
      <c r="E57" s="290" t="s">
        <v>132</v>
      </c>
      <c r="F57" s="290" t="s">
        <v>490</v>
      </c>
      <c r="G57" s="292" t="s">
        <v>133</v>
      </c>
      <c r="H57" s="290" t="s">
        <v>109</v>
      </c>
      <c r="I57" s="290" t="s">
        <v>110</v>
      </c>
      <c r="J57" s="292" t="s">
        <v>43</v>
      </c>
    </row>
    <row r="58" spans="1:10" s="96" customFormat="1">
      <c r="A58" s="290"/>
      <c r="B58" s="290"/>
      <c r="C58" s="290"/>
      <c r="D58" s="293"/>
      <c r="E58" s="290"/>
      <c r="F58" s="290"/>
      <c r="G58" s="293"/>
      <c r="H58" s="290"/>
      <c r="I58" s="290"/>
      <c r="J58" s="293"/>
    </row>
    <row r="59" spans="1:10" s="96" customFormat="1" ht="21.75" customHeight="1">
      <c r="A59" s="111">
        <v>1</v>
      </c>
      <c r="B59" s="101" t="s">
        <v>480</v>
      </c>
      <c r="C59" s="111" t="s">
        <v>135</v>
      </c>
      <c r="D59" s="111">
        <v>57.6</v>
      </c>
      <c r="E59" s="111">
        <v>5</v>
      </c>
      <c r="F59" s="128">
        <f>365*8</f>
        <v>2920</v>
      </c>
      <c r="G59" s="129">
        <v>12900000</v>
      </c>
      <c r="H59" s="131">
        <f>G59/F59/E59</f>
        <v>883.56164383561645</v>
      </c>
      <c r="I59" s="134">
        <f>H59*D59</f>
        <v>50893.150684931512</v>
      </c>
      <c r="J59" s="96" t="s">
        <v>511</v>
      </c>
    </row>
    <row r="60" spans="1:10" s="96" customFormat="1">
      <c r="A60" s="111">
        <v>2</v>
      </c>
      <c r="B60" s="101" t="s">
        <v>137</v>
      </c>
      <c r="C60" s="111" t="s">
        <v>135</v>
      </c>
      <c r="D60" s="111">
        <v>0.2</v>
      </c>
      <c r="E60" s="111">
        <v>8</v>
      </c>
      <c r="F60" s="128">
        <f t="shared" ref="F60:F67" si="9">365*8</f>
        <v>2920</v>
      </c>
      <c r="G60" s="129">
        <v>34000000</v>
      </c>
      <c r="H60" s="131">
        <f t="shared" ref="H60:H67" si="10">G60/F60/E60</f>
        <v>1455.4794520547946</v>
      </c>
      <c r="I60" s="134">
        <f t="shared" ref="I60:I67" si="11">H60*D60</f>
        <v>291.09589041095893</v>
      </c>
      <c r="J60" s="97" t="s">
        <v>519</v>
      </c>
    </row>
    <row r="61" spans="1:10" s="96" customFormat="1">
      <c r="A61" s="111">
        <v>3</v>
      </c>
      <c r="B61" s="101" t="s">
        <v>144</v>
      </c>
      <c r="C61" s="111" t="s">
        <v>135</v>
      </c>
      <c r="D61" s="111">
        <v>10.4</v>
      </c>
      <c r="E61" s="111">
        <v>8</v>
      </c>
      <c r="F61" s="128">
        <f t="shared" si="9"/>
        <v>2920</v>
      </c>
      <c r="G61" s="129">
        <v>17260000</v>
      </c>
      <c r="H61" s="131">
        <f>G61/F61/E61</f>
        <v>738.86986301369859</v>
      </c>
      <c r="I61" s="134">
        <f>H61*D61</f>
        <v>7684.2465753424658</v>
      </c>
      <c r="J61" s="97" t="s">
        <v>520</v>
      </c>
    </row>
    <row r="62" spans="1:10" s="96" customFormat="1">
      <c r="A62" s="111">
        <v>4</v>
      </c>
      <c r="B62" s="101" t="s">
        <v>136</v>
      </c>
      <c r="C62" s="111" t="s">
        <v>135</v>
      </c>
      <c r="D62" s="111">
        <v>0.1</v>
      </c>
      <c r="E62" s="111">
        <v>5</v>
      </c>
      <c r="F62" s="128">
        <f t="shared" si="9"/>
        <v>2920</v>
      </c>
      <c r="G62" s="129">
        <v>6500000</v>
      </c>
      <c r="H62" s="131">
        <f>G62/F62/E62</f>
        <v>445.20547945205482</v>
      </c>
      <c r="I62" s="134">
        <f>H62*D62</f>
        <v>44.520547945205486</v>
      </c>
      <c r="J62" s="306" t="s">
        <v>491</v>
      </c>
    </row>
    <row r="63" spans="1:10" s="96" customFormat="1">
      <c r="A63" s="111">
        <v>5</v>
      </c>
      <c r="B63" s="101" t="s">
        <v>138</v>
      </c>
      <c r="C63" s="111" t="s">
        <v>135</v>
      </c>
      <c r="D63" s="111">
        <v>0.2</v>
      </c>
      <c r="E63" s="111">
        <v>5</v>
      </c>
      <c r="F63" s="128">
        <f t="shared" si="9"/>
        <v>2920</v>
      </c>
      <c r="G63" s="129">
        <v>3580000</v>
      </c>
      <c r="H63" s="131">
        <f t="shared" si="10"/>
        <v>245.20547945205482</v>
      </c>
      <c r="I63" s="134">
        <f t="shared" si="11"/>
        <v>49.041095890410965</v>
      </c>
      <c r="J63" s="307"/>
    </row>
    <row r="64" spans="1:10" s="96" customFormat="1" ht="15.75" customHeight="1">
      <c r="A64" s="111">
        <v>6</v>
      </c>
      <c r="B64" s="101" t="s">
        <v>139</v>
      </c>
      <c r="C64" s="111" t="s">
        <v>135</v>
      </c>
      <c r="D64" s="111">
        <v>10.4</v>
      </c>
      <c r="E64" s="111">
        <v>8</v>
      </c>
      <c r="F64" s="128">
        <f t="shared" si="9"/>
        <v>2920</v>
      </c>
      <c r="G64" s="129">
        <v>2500000</v>
      </c>
      <c r="H64" s="131">
        <f t="shared" si="10"/>
        <v>107.02054794520548</v>
      </c>
      <c r="I64" s="134">
        <f t="shared" si="11"/>
        <v>1113.013698630137</v>
      </c>
      <c r="J64" s="307"/>
    </row>
    <row r="65" spans="1:10" s="96" customFormat="1" ht="15.75" customHeight="1">
      <c r="A65" s="111">
        <v>7</v>
      </c>
      <c r="B65" s="101" t="s">
        <v>140</v>
      </c>
      <c r="C65" s="111" t="s">
        <v>135</v>
      </c>
      <c r="D65" s="111">
        <v>10.4</v>
      </c>
      <c r="E65" s="111">
        <v>8</v>
      </c>
      <c r="F65" s="128">
        <f t="shared" si="9"/>
        <v>2920</v>
      </c>
      <c r="G65" s="129">
        <v>850000</v>
      </c>
      <c r="H65" s="131">
        <f t="shared" si="10"/>
        <v>36.386986301369866</v>
      </c>
      <c r="I65" s="134">
        <f t="shared" si="11"/>
        <v>378.42465753424665</v>
      </c>
      <c r="J65" s="307"/>
    </row>
    <row r="66" spans="1:10" s="96" customFormat="1" ht="15.75" customHeight="1">
      <c r="A66" s="111">
        <v>8</v>
      </c>
      <c r="B66" s="101" t="s">
        <v>141</v>
      </c>
      <c r="C66" s="111" t="s">
        <v>135</v>
      </c>
      <c r="D66" s="111">
        <v>10.4</v>
      </c>
      <c r="E66" s="111">
        <v>5</v>
      </c>
      <c r="F66" s="128">
        <f t="shared" si="9"/>
        <v>2920</v>
      </c>
      <c r="G66" s="129">
        <v>745000</v>
      </c>
      <c r="H66" s="131">
        <f t="shared" si="10"/>
        <v>51.027397260273972</v>
      </c>
      <c r="I66" s="134">
        <f t="shared" si="11"/>
        <v>530.68493150684935</v>
      </c>
      <c r="J66" s="307"/>
    </row>
    <row r="67" spans="1:10" s="96" customFormat="1" ht="15.75" customHeight="1">
      <c r="A67" s="111">
        <v>9</v>
      </c>
      <c r="B67" s="101" t="s">
        <v>142</v>
      </c>
      <c r="C67" s="111" t="s">
        <v>143</v>
      </c>
      <c r="D67" s="111">
        <v>10.4</v>
      </c>
      <c r="E67" s="111">
        <v>5</v>
      </c>
      <c r="F67" s="128">
        <f t="shared" si="9"/>
        <v>2920</v>
      </c>
      <c r="G67" s="129">
        <v>150000</v>
      </c>
      <c r="H67" s="131">
        <f t="shared" si="10"/>
        <v>10.273972602739725</v>
      </c>
      <c r="I67" s="134">
        <f t="shared" si="11"/>
        <v>106.84931506849314</v>
      </c>
      <c r="J67" s="308"/>
    </row>
    <row r="68" spans="1:10" s="96" customFormat="1">
      <c r="A68" s="132"/>
      <c r="B68" s="133" t="s">
        <v>9</v>
      </c>
      <c r="C68" s="97"/>
      <c r="D68" s="97"/>
      <c r="E68" s="97"/>
      <c r="F68" s="97"/>
      <c r="G68" s="97"/>
      <c r="H68" s="120"/>
      <c r="I68" s="120">
        <f>SUM(I59:I67)</f>
        <v>61091.027397260281</v>
      </c>
      <c r="J68" s="111"/>
    </row>
    <row r="69" spans="1:10" s="96" customFormat="1">
      <c r="A69" s="291" t="s">
        <v>146</v>
      </c>
      <c r="B69" s="291"/>
      <c r="C69" s="291"/>
    </row>
    <row r="70" spans="1:10" s="96" customFormat="1" ht="55.5" customHeight="1">
      <c r="A70" s="290" t="s">
        <v>103</v>
      </c>
      <c r="B70" s="290" t="s">
        <v>104</v>
      </c>
      <c r="C70" s="290" t="s">
        <v>105</v>
      </c>
      <c r="D70" s="290" t="s">
        <v>147</v>
      </c>
      <c r="E70" s="290" t="s">
        <v>107</v>
      </c>
      <c r="F70" s="290" t="s">
        <v>490</v>
      </c>
      <c r="G70" s="290" t="s">
        <v>108</v>
      </c>
      <c r="H70" s="290" t="s">
        <v>109</v>
      </c>
      <c r="I70" s="290" t="s">
        <v>110</v>
      </c>
      <c r="J70" s="290" t="s">
        <v>43</v>
      </c>
    </row>
    <row r="71" spans="1:10" s="96" customFormat="1">
      <c r="A71" s="290"/>
      <c r="B71" s="290"/>
      <c r="C71" s="290"/>
      <c r="D71" s="290"/>
      <c r="E71" s="290"/>
      <c r="F71" s="290"/>
      <c r="G71" s="290"/>
      <c r="H71" s="290"/>
      <c r="I71" s="290"/>
      <c r="J71" s="290"/>
    </row>
    <row r="72" spans="1:10" s="96" customFormat="1" ht="26.25" customHeight="1">
      <c r="A72" s="108" t="s">
        <v>44</v>
      </c>
      <c r="B72" s="294" t="s">
        <v>148</v>
      </c>
      <c r="C72" s="294"/>
      <c r="D72" s="294"/>
      <c r="E72" s="294"/>
      <c r="F72" s="294"/>
      <c r="G72" s="294"/>
      <c r="H72" s="294"/>
      <c r="I72" s="294"/>
      <c r="J72" s="97"/>
    </row>
    <row r="73" spans="1:10" s="96" customFormat="1" ht="39" customHeight="1">
      <c r="A73" s="100">
        <v>1</v>
      </c>
      <c r="B73" s="107" t="s">
        <v>149</v>
      </c>
      <c r="C73" s="111" t="s">
        <v>112</v>
      </c>
      <c r="D73" s="111">
        <v>0.2</v>
      </c>
      <c r="E73" s="100">
        <v>10</v>
      </c>
      <c r="F73" s="112">
        <f>365*8</f>
        <v>2920</v>
      </c>
      <c r="G73" s="113">
        <v>46000000</v>
      </c>
      <c r="H73" s="114">
        <f t="shared" ref="H73:H91" si="12">G73/(E73*F73)</f>
        <v>1575.3424657534247</v>
      </c>
      <c r="I73" s="115">
        <f>H73*D73</f>
        <v>315.06849315068496</v>
      </c>
      <c r="J73" s="135" t="s">
        <v>521</v>
      </c>
    </row>
    <row r="74" spans="1:10" s="96" customFormat="1" ht="39" customHeight="1">
      <c r="A74" s="100">
        <v>2</v>
      </c>
      <c r="B74" s="101" t="s">
        <v>117</v>
      </c>
      <c r="C74" s="111" t="s">
        <v>112</v>
      </c>
      <c r="D74" s="111">
        <v>0.2</v>
      </c>
      <c r="E74" s="100">
        <v>10</v>
      </c>
      <c r="F74" s="112">
        <f t="shared" ref="F74:F91" si="13">365*8</f>
        <v>2920</v>
      </c>
      <c r="G74" s="123">
        <v>34800000</v>
      </c>
      <c r="H74" s="114">
        <f t="shared" si="12"/>
        <v>1191.7808219178082</v>
      </c>
      <c r="I74" s="115">
        <f t="shared" ref="I74:I91" si="14">H74*D74</f>
        <v>238.35616438356166</v>
      </c>
      <c r="J74" s="135" t="s">
        <v>513</v>
      </c>
    </row>
    <row r="75" spans="1:10" s="96" customFormat="1" ht="39" customHeight="1">
      <c r="A75" s="100">
        <v>3</v>
      </c>
      <c r="B75" s="101" t="s">
        <v>116</v>
      </c>
      <c r="C75" s="111" t="s">
        <v>112</v>
      </c>
      <c r="D75" s="111">
        <v>0.2</v>
      </c>
      <c r="E75" s="100">
        <v>10</v>
      </c>
      <c r="F75" s="112">
        <f t="shared" si="13"/>
        <v>2920</v>
      </c>
      <c r="G75" s="123">
        <v>9500000</v>
      </c>
      <c r="H75" s="114">
        <f t="shared" si="12"/>
        <v>325.34246575342468</v>
      </c>
      <c r="I75" s="115">
        <f t="shared" si="14"/>
        <v>65.068493150684944</v>
      </c>
      <c r="J75" s="135" t="s">
        <v>512</v>
      </c>
    </row>
    <row r="76" spans="1:10" s="96" customFormat="1" ht="39" customHeight="1">
      <c r="A76" s="100">
        <v>4</v>
      </c>
      <c r="B76" s="107" t="s">
        <v>150</v>
      </c>
      <c r="C76" s="111" t="s">
        <v>112</v>
      </c>
      <c r="D76" s="111">
        <v>0.5</v>
      </c>
      <c r="E76" s="100">
        <v>10</v>
      </c>
      <c r="F76" s="112">
        <f t="shared" si="13"/>
        <v>2920</v>
      </c>
      <c r="G76" s="123">
        <v>23700000</v>
      </c>
      <c r="H76" s="114">
        <f t="shared" si="12"/>
        <v>811.64383561643831</v>
      </c>
      <c r="I76" s="115">
        <f t="shared" si="14"/>
        <v>405.82191780821915</v>
      </c>
      <c r="J76" s="135" t="s">
        <v>522</v>
      </c>
    </row>
    <row r="77" spans="1:10" s="96" customFormat="1" ht="39" customHeight="1">
      <c r="A77" s="100">
        <v>5</v>
      </c>
      <c r="B77" s="107" t="s">
        <v>118</v>
      </c>
      <c r="C77" s="111" t="s">
        <v>112</v>
      </c>
      <c r="D77" s="111">
        <v>3</v>
      </c>
      <c r="E77" s="100">
        <v>10</v>
      </c>
      <c r="F77" s="112">
        <f t="shared" si="13"/>
        <v>2920</v>
      </c>
      <c r="G77" s="123">
        <v>22000000</v>
      </c>
      <c r="H77" s="114">
        <f t="shared" si="12"/>
        <v>753.42465753424653</v>
      </c>
      <c r="I77" s="115">
        <f t="shared" si="14"/>
        <v>2260.2739726027394</v>
      </c>
      <c r="J77" s="135" t="s">
        <v>523</v>
      </c>
    </row>
    <row r="78" spans="1:10" s="96" customFormat="1" ht="39" customHeight="1">
      <c r="A78" s="100">
        <v>6</v>
      </c>
      <c r="B78" s="101" t="s">
        <v>151</v>
      </c>
      <c r="C78" s="111" t="s">
        <v>112</v>
      </c>
      <c r="D78" s="111">
        <v>2</v>
      </c>
      <c r="E78" s="100">
        <v>10</v>
      </c>
      <c r="F78" s="112">
        <f t="shared" si="13"/>
        <v>2920</v>
      </c>
      <c r="G78" s="123">
        <v>252027000</v>
      </c>
      <c r="H78" s="114">
        <f t="shared" si="12"/>
        <v>8631.0616438356155</v>
      </c>
      <c r="I78" s="115">
        <f t="shared" si="14"/>
        <v>17262.123287671231</v>
      </c>
      <c r="J78" s="135" t="s">
        <v>524</v>
      </c>
    </row>
    <row r="79" spans="1:10" s="149" customFormat="1" ht="39.75" customHeight="1">
      <c r="A79" s="100">
        <v>7</v>
      </c>
      <c r="B79" s="101" t="s">
        <v>152</v>
      </c>
      <c r="C79" s="111" t="s">
        <v>112</v>
      </c>
      <c r="D79" s="111">
        <v>0.25</v>
      </c>
      <c r="E79" s="100">
        <v>10</v>
      </c>
      <c r="F79" s="112">
        <f t="shared" si="13"/>
        <v>2920</v>
      </c>
      <c r="G79" s="116">
        <v>148700000</v>
      </c>
      <c r="H79" s="114">
        <f t="shared" si="12"/>
        <v>5092.4657534246571</v>
      </c>
      <c r="I79" s="115">
        <f t="shared" si="14"/>
        <v>1273.1164383561643</v>
      </c>
      <c r="J79" s="150" t="s">
        <v>153</v>
      </c>
    </row>
    <row r="80" spans="1:10" s="96" customFormat="1" ht="39" customHeight="1">
      <c r="A80" s="100">
        <v>8</v>
      </c>
      <c r="B80" s="101" t="s">
        <v>154</v>
      </c>
      <c r="C80" s="111" t="s">
        <v>112</v>
      </c>
      <c r="D80" s="111">
        <v>0.3</v>
      </c>
      <c r="E80" s="100">
        <v>10</v>
      </c>
      <c r="F80" s="112">
        <f t="shared" si="13"/>
        <v>2920</v>
      </c>
      <c r="G80" s="136">
        <v>54800000</v>
      </c>
      <c r="H80" s="114">
        <f t="shared" si="12"/>
        <v>1876.7123287671234</v>
      </c>
      <c r="I80" s="115">
        <f t="shared" si="14"/>
        <v>563.01369863013701</v>
      </c>
      <c r="J80" s="135" t="s">
        <v>525</v>
      </c>
    </row>
    <row r="81" spans="1:10" s="96" customFormat="1" ht="39" customHeight="1">
      <c r="A81" s="100">
        <v>9</v>
      </c>
      <c r="B81" s="101" t="s">
        <v>155</v>
      </c>
      <c r="C81" s="111" t="s">
        <v>112</v>
      </c>
      <c r="D81" s="111">
        <v>1</v>
      </c>
      <c r="E81" s="100">
        <v>10</v>
      </c>
      <c r="F81" s="112">
        <f t="shared" si="13"/>
        <v>2920</v>
      </c>
      <c r="G81" s="123">
        <v>19550000</v>
      </c>
      <c r="H81" s="114">
        <f t="shared" si="12"/>
        <v>669.52054794520552</v>
      </c>
      <c r="I81" s="115">
        <f t="shared" si="14"/>
        <v>669.52054794520552</v>
      </c>
      <c r="J81" s="135" t="s">
        <v>526</v>
      </c>
    </row>
    <row r="82" spans="1:10" s="96" customFormat="1" ht="39" customHeight="1">
      <c r="A82" s="100">
        <v>10</v>
      </c>
      <c r="B82" s="101" t="s">
        <v>156</v>
      </c>
      <c r="C82" s="111" t="s">
        <v>112</v>
      </c>
      <c r="D82" s="111">
        <v>0.3</v>
      </c>
      <c r="E82" s="100">
        <v>10</v>
      </c>
      <c r="F82" s="112">
        <f t="shared" si="13"/>
        <v>2920</v>
      </c>
      <c r="G82" s="123">
        <v>212000000</v>
      </c>
      <c r="H82" s="114">
        <f t="shared" si="12"/>
        <v>7260.2739726027394</v>
      </c>
      <c r="I82" s="115">
        <f t="shared" si="14"/>
        <v>2178.0821917808216</v>
      </c>
      <c r="J82" s="135" t="s">
        <v>527</v>
      </c>
    </row>
    <row r="83" spans="1:10" s="96" customFormat="1" ht="19.5" customHeight="1">
      <c r="A83" s="100">
        <v>11</v>
      </c>
      <c r="B83" s="101" t="s">
        <v>157</v>
      </c>
      <c r="C83" s="111" t="s">
        <v>112</v>
      </c>
      <c r="D83" s="111">
        <v>0.17</v>
      </c>
      <c r="E83" s="100">
        <v>10</v>
      </c>
      <c r="F83" s="112">
        <f t="shared" si="13"/>
        <v>2920</v>
      </c>
      <c r="G83" s="123">
        <v>4200000</v>
      </c>
      <c r="H83" s="114">
        <f t="shared" si="12"/>
        <v>143.83561643835617</v>
      </c>
      <c r="I83" s="115">
        <f t="shared" si="14"/>
        <v>24.452054794520549</v>
      </c>
      <c r="J83" s="306" t="s">
        <v>491</v>
      </c>
    </row>
    <row r="84" spans="1:10" s="96" customFormat="1" ht="19.5" customHeight="1">
      <c r="A84" s="100">
        <v>12</v>
      </c>
      <c r="B84" s="101" t="s">
        <v>158</v>
      </c>
      <c r="C84" s="111" t="s">
        <v>112</v>
      </c>
      <c r="D84" s="111">
        <v>0.16</v>
      </c>
      <c r="E84" s="100">
        <v>5</v>
      </c>
      <c r="F84" s="112">
        <f t="shared" si="13"/>
        <v>2920</v>
      </c>
      <c r="G84" s="123">
        <v>10000000</v>
      </c>
      <c r="H84" s="114">
        <f t="shared" si="12"/>
        <v>684.93150684931504</v>
      </c>
      <c r="I84" s="115">
        <f t="shared" si="14"/>
        <v>109.58904109589041</v>
      </c>
      <c r="J84" s="298"/>
    </row>
    <row r="85" spans="1:10" s="146" customFormat="1" ht="21" customHeight="1">
      <c r="A85" s="192">
        <v>13</v>
      </c>
      <c r="B85" s="141" t="s">
        <v>138</v>
      </c>
      <c r="C85" s="162" t="s">
        <v>112</v>
      </c>
      <c r="D85" s="162">
        <v>0.16</v>
      </c>
      <c r="E85" s="192">
        <v>5</v>
      </c>
      <c r="F85" s="193">
        <f t="shared" si="13"/>
        <v>2920</v>
      </c>
      <c r="G85" s="194">
        <v>3580000</v>
      </c>
      <c r="H85" s="195">
        <f t="shared" si="12"/>
        <v>245.20547945205479</v>
      </c>
      <c r="I85" s="196">
        <f t="shared" si="14"/>
        <v>39.232876712328768</v>
      </c>
      <c r="J85" s="298"/>
    </row>
    <row r="86" spans="1:10" s="146" customFormat="1" ht="21" customHeight="1">
      <c r="A86" s="192">
        <v>14</v>
      </c>
      <c r="B86" s="141" t="s">
        <v>139</v>
      </c>
      <c r="C86" s="162" t="s">
        <v>112</v>
      </c>
      <c r="D86" s="162">
        <v>0.16</v>
      </c>
      <c r="E86" s="192">
        <v>8</v>
      </c>
      <c r="F86" s="193">
        <f t="shared" si="13"/>
        <v>2920</v>
      </c>
      <c r="G86" s="194">
        <v>2500000</v>
      </c>
      <c r="H86" s="195">
        <f t="shared" si="12"/>
        <v>107.02054794520548</v>
      </c>
      <c r="I86" s="196">
        <f t="shared" si="14"/>
        <v>17.123287671232877</v>
      </c>
      <c r="J86" s="298"/>
    </row>
    <row r="87" spans="1:10" s="146" customFormat="1" ht="21" customHeight="1">
      <c r="A87" s="192">
        <v>15</v>
      </c>
      <c r="B87" s="141" t="s">
        <v>140</v>
      </c>
      <c r="C87" s="162" t="s">
        <v>112</v>
      </c>
      <c r="D87" s="162">
        <v>0.16</v>
      </c>
      <c r="E87" s="192">
        <v>8</v>
      </c>
      <c r="F87" s="193">
        <f t="shared" si="13"/>
        <v>2920</v>
      </c>
      <c r="G87" s="194">
        <v>850000</v>
      </c>
      <c r="H87" s="195">
        <f t="shared" si="12"/>
        <v>36.386986301369866</v>
      </c>
      <c r="I87" s="196">
        <f t="shared" si="14"/>
        <v>5.8219178082191787</v>
      </c>
      <c r="J87" s="298"/>
    </row>
    <row r="88" spans="1:10" s="146" customFormat="1" ht="21" customHeight="1">
      <c r="A88" s="192">
        <v>16</v>
      </c>
      <c r="B88" s="141" t="s">
        <v>141</v>
      </c>
      <c r="C88" s="162" t="s">
        <v>112</v>
      </c>
      <c r="D88" s="162">
        <v>0.5</v>
      </c>
      <c r="E88" s="192">
        <v>5</v>
      </c>
      <c r="F88" s="193">
        <f t="shared" si="13"/>
        <v>2920</v>
      </c>
      <c r="G88" s="194">
        <v>745000</v>
      </c>
      <c r="H88" s="195">
        <f t="shared" si="12"/>
        <v>51.027397260273972</v>
      </c>
      <c r="I88" s="196">
        <f t="shared" si="14"/>
        <v>25.513698630136986</v>
      </c>
      <c r="J88" s="298"/>
    </row>
    <row r="89" spans="1:10" s="146" customFormat="1" ht="21" customHeight="1">
      <c r="A89" s="192">
        <v>17</v>
      </c>
      <c r="B89" s="141" t="s">
        <v>142</v>
      </c>
      <c r="C89" s="162" t="s">
        <v>112</v>
      </c>
      <c r="D89" s="162">
        <v>0.5</v>
      </c>
      <c r="E89" s="192">
        <v>5</v>
      </c>
      <c r="F89" s="193">
        <f t="shared" si="13"/>
        <v>2920</v>
      </c>
      <c r="G89" s="194">
        <v>150000</v>
      </c>
      <c r="H89" s="195">
        <f t="shared" si="12"/>
        <v>10.273972602739725</v>
      </c>
      <c r="I89" s="196">
        <f t="shared" si="14"/>
        <v>5.1369863013698627</v>
      </c>
      <c r="J89" s="299"/>
    </row>
    <row r="90" spans="1:10" s="96" customFormat="1" ht="33.75" customHeight="1">
      <c r="A90" s="100">
        <v>18</v>
      </c>
      <c r="B90" s="101" t="s">
        <v>159</v>
      </c>
      <c r="C90" s="111" t="s">
        <v>112</v>
      </c>
      <c r="D90" s="111">
        <v>3</v>
      </c>
      <c r="E90" s="100">
        <v>5</v>
      </c>
      <c r="F90" s="112">
        <f t="shared" si="13"/>
        <v>2920</v>
      </c>
      <c r="G90" s="123">
        <v>11900000</v>
      </c>
      <c r="H90" s="114">
        <f t="shared" si="12"/>
        <v>815.06849315068496</v>
      </c>
      <c r="I90" s="115">
        <f t="shared" si="14"/>
        <v>2445.205479452055</v>
      </c>
      <c r="J90" s="135" t="s">
        <v>528</v>
      </c>
    </row>
    <row r="91" spans="1:10" s="96" customFormat="1" ht="19.5" customHeight="1">
      <c r="A91" s="100">
        <v>19</v>
      </c>
      <c r="B91" s="101" t="s">
        <v>144</v>
      </c>
      <c r="C91" s="111" t="s">
        <v>112</v>
      </c>
      <c r="D91" s="111">
        <v>0.5</v>
      </c>
      <c r="E91" s="100">
        <v>8</v>
      </c>
      <c r="F91" s="112">
        <f t="shared" si="13"/>
        <v>2920</v>
      </c>
      <c r="G91" s="123">
        <v>17260000</v>
      </c>
      <c r="H91" s="114">
        <f t="shared" si="12"/>
        <v>738.86986301369859</v>
      </c>
      <c r="I91" s="115">
        <f t="shared" si="14"/>
        <v>369.4349315068493</v>
      </c>
      <c r="J91" s="97" t="s">
        <v>520</v>
      </c>
    </row>
    <row r="92" spans="1:10" s="96" customFormat="1">
      <c r="A92" s="102"/>
      <c r="B92" s="118" t="s">
        <v>9</v>
      </c>
      <c r="C92" s="102"/>
      <c r="D92" s="102"/>
      <c r="E92" s="102"/>
      <c r="F92" s="102"/>
      <c r="G92" s="102"/>
      <c r="H92" s="103"/>
      <c r="I92" s="104">
        <f>SUM(I73:I91)</f>
        <v>28271.955479452048</v>
      </c>
      <c r="J92" s="105"/>
    </row>
    <row r="93" spans="1:10" s="96" customFormat="1">
      <c r="A93" s="110" t="s">
        <v>83</v>
      </c>
      <c r="B93" s="295" t="s">
        <v>160</v>
      </c>
      <c r="C93" s="295"/>
      <c r="D93" s="295"/>
      <c r="E93" s="295"/>
      <c r="F93" s="295"/>
      <c r="G93" s="295"/>
      <c r="H93" s="295"/>
      <c r="I93" s="295"/>
      <c r="J93" s="101"/>
    </row>
    <row r="94" spans="1:10" s="96" customFormat="1" ht="31.5">
      <c r="A94" s="100">
        <v>1</v>
      </c>
      <c r="B94" s="107" t="s">
        <v>149</v>
      </c>
      <c r="C94" s="111" t="s">
        <v>112</v>
      </c>
      <c r="D94" s="111">
        <v>0.2</v>
      </c>
      <c r="E94" s="97">
        <v>10</v>
      </c>
      <c r="F94" s="112">
        <f>365*8</f>
        <v>2920</v>
      </c>
      <c r="G94" s="134">
        <f>G73</f>
        <v>46000000</v>
      </c>
      <c r="H94" s="114">
        <f t="shared" ref="H94:H107" si="15">G94/(E94*F94)</f>
        <v>1575.3424657534247</v>
      </c>
      <c r="I94" s="115">
        <f t="shared" ref="I94:I107" si="16">H94*D94</f>
        <v>315.06849315068496</v>
      </c>
      <c r="J94" s="135" t="s">
        <v>521</v>
      </c>
    </row>
    <row r="95" spans="1:10" s="96" customFormat="1" ht="31.5">
      <c r="A95" s="100">
        <v>2</v>
      </c>
      <c r="B95" s="101" t="s">
        <v>117</v>
      </c>
      <c r="C95" s="111" t="s">
        <v>112</v>
      </c>
      <c r="D95" s="111">
        <v>0.2</v>
      </c>
      <c r="E95" s="97">
        <v>10</v>
      </c>
      <c r="F95" s="112">
        <f t="shared" ref="F95:F107" si="17">365*8</f>
        <v>2920</v>
      </c>
      <c r="G95" s="123">
        <f>G74</f>
        <v>34800000</v>
      </c>
      <c r="H95" s="114">
        <f t="shared" si="15"/>
        <v>1191.7808219178082</v>
      </c>
      <c r="I95" s="115">
        <f t="shared" si="16"/>
        <v>238.35616438356166</v>
      </c>
      <c r="J95" s="135" t="s">
        <v>513</v>
      </c>
    </row>
    <row r="96" spans="1:10" s="96" customFormat="1" ht="31.5">
      <c r="A96" s="100">
        <v>3</v>
      </c>
      <c r="B96" s="101" t="s">
        <v>116</v>
      </c>
      <c r="C96" s="111" t="s">
        <v>112</v>
      </c>
      <c r="D96" s="111">
        <v>0.2</v>
      </c>
      <c r="E96" s="97">
        <v>10</v>
      </c>
      <c r="F96" s="112">
        <f t="shared" si="17"/>
        <v>2920</v>
      </c>
      <c r="G96" s="123">
        <f>G75</f>
        <v>9500000</v>
      </c>
      <c r="H96" s="114">
        <f t="shared" si="15"/>
        <v>325.34246575342468</v>
      </c>
      <c r="I96" s="115">
        <f t="shared" si="16"/>
        <v>65.068493150684944</v>
      </c>
      <c r="J96" s="135" t="s">
        <v>512</v>
      </c>
    </row>
    <row r="97" spans="1:10" s="96" customFormat="1" ht="31.5">
      <c r="A97" s="100">
        <v>4</v>
      </c>
      <c r="B97" s="107" t="s">
        <v>118</v>
      </c>
      <c r="C97" s="111" t="s">
        <v>112</v>
      </c>
      <c r="D97" s="111">
        <v>1</v>
      </c>
      <c r="E97" s="97">
        <v>10</v>
      </c>
      <c r="F97" s="112">
        <f t="shared" si="17"/>
        <v>2920</v>
      </c>
      <c r="G97" s="123">
        <f>G77</f>
        <v>22000000</v>
      </c>
      <c r="H97" s="114">
        <f t="shared" si="15"/>
        <v>753.42465753424653</v>
      </c>
      <c r="I97" s="115">
        <f t="shared" si="16"/>
        <v>753.42465753424653</v>
      </c>
      <c r="J97" s="135" t="s">
        <v>523</v>
      </c>
    </row>
    <row r="98" spans="1:10" s="96" customFormat="1" ht="31.5">
      <c r="A98" s="100">
        <v>5</v>
      </c>
      <c r="B98" s="107" t="s">
        <v>155</v>
      </c>
      <c r="C98" s="111" t="s">
        <v>112</v>
      </c>
      <c r="D98" s="111">
        <v>1</v>
      </c>
      <c r="E98" s="97">
        <v>10</v>
      </c>
      <c r="F98" s="112">
        <f t="shared" si="17"/>
        <v>2920</v>
      </c>
      <c r="G98" s="123">
        <f>G81</f>
        <v>19550000</v>
      </c>
      <c r="H98" s="114">
        <f t="shared" si="15"/>
        <v>669.52054794520552</v>
      </c>
      <c r="I98" s="115">
        <f t="shared" si="16"/>
        <v>669.52054794520552</v>
      </c>
      <c r="J98" s="135" t="s">
        <v>526</v>
      </c>
    </row>
    <row r="99" spans="1:10" s="96" customFormat="1" ht="33" customHeight="1">
      <c r="A99" s="100">
        <v>6</v>
      </c>
      <c r="B99" s="107" t="s">
        <v>161</v>
      </c>
      <c r="C99" s="111" t="s">
        <v>112</v>
      </c>
      <c r="D99" s="111">
        <v>3</v>
      </c>
      <c r="E99" s="97">
        <v>10</v>
      </c>
      <c r="F99" s="112">
        <f t="shared" si="17"/>
        <v>2920</v>
      </c>
      <c r="G99" s="123">
        <v>416200000</v>
      </c>
      <c r="H99" s="114">
        <f t="shared" si="15"/>
        <v>14253.424657534246</v>
      </c>
      <c r="I99" s="115">
        <f t="shared" si="16"/>
        <v>42760.273972602736</v>
      </c>
      <c r="J99" s="135" t="s">
        <v>536</v>
      </c>
    </row>
    <row r="100" spans="1:10" s="96" customFormat="1" ht="19.5" customHeight="1">
      <c r="A100" s="100">
        <v>7</v>
      </c>
      <c r="B100" s="107" t="s">
        <v>162</v>
      </c>
      <c r="C100" s="111" t="s">
        <v>112</v>
      </c>
      <c r="D100" s="111">
        <v>1</v>
      </c>
      <c r="E100" s="97">
        <v>10</v>
      </c>
      <c r="F100" s="112">
        <f t="shared" si="17"/>
        <v>2920</v>
      </c>
      <c r="G100" s="123">
        <v>3186000000</v>
      </c>
      <c r="H100" s="114">
        <f t="shared" si="15"/>
        <v>109109.5890410959</v>
      </c>
      <c r="I100" s="115">
        <f t="shared" si="16"/>
        <v>109109.5890410959</v>
      </c>
      <c r="J100" s="135" t="s">
        <v>153</v>
      </c>
    </row>
    <row r="101" spans="1:10" s="96" customFormat="1">
      <c r="A101" s="100">
        <v>8</v>
      </c>
      <c r="B101" s="250" t="s">
        <v>163</v>
      </c>
      <c r="C101" s="111" t="s">
        <v>112</v>
      </c>
      <c r="D101" s="111">
        <v>2</v>
      </c>
      <c r="E101" s="247">
        <v>8</v>
      </c>
      <c r="F101" s="112">
        <f t="shared" si="17"/>
        <v>2920</v>
      </c>
      <c r="G101" s="248">
        <v>17260000</v>
      </c>
      <c r="H101" s="249">
        <f t="shared" si="15"/>
        <v>738.86986301369859</v>
      </c>
      <c r="I101" s="113">
        <f t="shared" si="16"/>
        <v>1477.7397260273972</v>
      </c>
      <c r="J101" s="96" t="s">
        <v>520</v>
      </c>
    </row>
    <row r="102" spans="1:10" s="96" customFormat="1">
      <c r="A102" s="100">
        <v>9</v>
      </c>
      <c r="B102" s="107" t="s">
        <v>158</v>
      </c>
      <c r="C102" s="111" t="s">
        <v>112</v>
      </c>
      <c r="D102" s="111">
        <v>1.1599999999999999</v>
      </c>
      <c r="E102" s="97">
        <v>5</v>
      </c>
      <c r="F102" s="112">
        <f t="shared" si="17"/>
        <v>2920</v>
      </c>
      <c r="G102" s="123">
        <v>10000000</v>
      </c>
      <c r="H102" s="114">
        <f t="shared" si="15"/>
        <v>684.93150684931504</v>
      </c>
      <c r="I102" s="115">
        <f t="shared" si="16"/>
        <v>794.52054794520541</v>
      </c>
      <c r="J102" s="297" t="s">
        <v>491</v>
      </c>
    </row>
    <row r="103" spans="1:10" s="96" customFormat="1" ht="20.25" customHeight="1">
      <c r="A103" s="100">
        <v>10</v>
      </c>
      <c r="B103" s="107" t="s">
        <v>138</v>
      </c>
      <c r="C103" s="111" t="s">
        <v>112</v>
      </c>
      <c r="D103" s="111">
        <v>0.16</v>
      </c>
      <c r="E103" s="97">
        <v>5</v>
      </c>
      <c r="F103" s="112">
        <f t="shared" si="17"/>
        <v>2920</v>
      </c>
      <c r="G103" s="123">
        <v>3580000</v>
      </c>
      <c r="H103" s="114">
        <f t="shared" si="15"/>
        <v>245.20547945205479</v>
      </c>
      <c r="I103" s="115">
        <f t="shared" si="16"/>
        <v>39.232876712328768</v>
      </c>
      <c r="J103" s="298"/>
    </row>
    <row r="104" spans="1:10" s="96" customFormat="1" ht="20.25" customHeight="1">
      <c r="A104" s="100">
        <v>11</v>
      </c>
      <c r="B104" s="107" t="s">
        <v>139</v>
      </c>
      <c r="C104" s="111" t="s">
        <v>112</v>
      </c>
      <c r="D104" s="111">
        <v>0.16</v>
      </c>
      <c r="E104" s="97">
        <v>8</v>
      </c>
      <c r="F104" s="112">
        <f t="shared" si="17"/>
        <v>2920</v>
      </c>
      <c r="G104" s="123">
        <v>2500000</v>
      </c>
      <c r="H104" s="114">
        <f t="shared" si="15"/>
        <v>107.02054794520548</v>
      </c>
      <c r="I104" s="115">
        <f t="shared" si="16"/>
        <v>17.123287671232877</v>
      </c>
      <c r="J104" s="298"/>
    </row>
    <row r="105" spans="1:10" s="96" customFormat="1" ht="20.25" customHeight="1">
      <c r="A105" s="100">
        <v>12</v>
      </c>
      <c r="B105" s="107" t="s">
        <v>140</v>
      </c>
      <c r="C105" s="111" t="s">
        <v>112</v>
      </c>
      <c r="D105" s="111">
        <v>2</v>
      </c>
      <c r="E105" s="97">
        <v>8</v>
      </c>
      <c r="F105" s="112">
        <f t="shared" si="17"/>
        <v>2920</v>
      </c>
      <c r="G105" s="123">
        <v>850000</v>
      </c>
      <c r="H105" s="114">
        <f t="shared" si="15"/>
        <v>36.386986301369866</v>
      </c>
      <c r="I105" s="115">
        <f t="shared" si="16"/>
        <v>72.773972602739732</v>
      </c>
      <c r="J105" s="298"/>
    </row>
    <row r="106" spans="1:10" s="96" customFormat="1" ht="20.25" customHeight="1">
      <c r="A106" s="100">
        <v>13</v>
      </c>
      <c r="B106" s="107" t="s">
        <v>141</v>
      </c>
      <c r="C106" s="111" t="s">
        <v>112</v>
      </c>
      <c r="D106" s="111">
        <v>2</v>
      </c>
      <c r="E106" s="97">
        <v>5</v>
      </c>
      <c r="F106" s="112">
        <f t="shared" si="17"/>
        <v>2920</v>
      </c>
      <c r="G106" s="123">
        <v>745000</v>
      </c>
      <c r="H106" s="114">
        <f t="shared" si="15"/>
        <v>51.027397260273972</v>
      </c>
      <c r="I106" s="115">
        <f t="shared" si="16"/>
        <v>102.05479452054794</v>
      </c>
      <c r="J106" s="298"/>
    </row>
    <row r="107" spans="1:10" s="96" customFormat="1" ht="31.5">
      <c r="A107" s="100">
        <v>15</v>
      </c>
      <c r="B107" s="107" t="s">
        <v>159</v>
      </c>
      <c r="C107" s="111" t="s">
        <v>112</v>
      </c>
      <c r="D107" s="111">
        <v>3</v>
      </c>
      <c r="E107" s="97">
        <v>5</v>
      </c>
      <c r="F107" s="112">
        <f t="shared" si="17"/>
        <v>2920</v>
      </c>
      <c r="G107" s="123">
        <v>11900000</v>
      </c>
      <c r="H107" s="114">
        <f t="shared" si="15"/>
        <v>815.06849315068496</v>
      </c>
      <c r="I107" s="115">
        <f t="shared" si="16"/>
        <v>2445.205479452055</v>
      </c>
      <c r="J107" s="135" t="s">
        <v>528</v>
      </c>
    </row>
    <row r="108" spans="1:10" s="96" customFormat="1">
      <c r="A108" s="102"/>
      <c r="B108" s="102" t="s">
        <v>9</v>
      </c>
      <c r="C108" s="102"/>
      <c r="D108" s="102"/>
      <c r="E108" s="102"/>
      <c r="F108" s="102"/>
      <c r="G108" s="102"/>
      <c r="H108" s="102"/>
      <c r="I108" s="106">
        <f>SUM(I94:I107)</f>
        <v>158859.95205479453</v>
      </c>
    </row>
    <row r="109" spans="1:10" s="96" customFormat="1" ht="38.25" customHeight="1">
      <c r="A109" s="102" t="s">
        <v>164</v>
      </c>
      <c r="B109" s="294" t="s">
        <v>482</v>
      </c>
      <c r="C109" s="295"/>
      <c r="D109" s="295"/>
      <c r="E109" s="295"/>
      <c r="F109" s="295"/>
      <c r="G109" s="295"/>
      <c r="H109" s="295"/>
      <c r="I109" s="295"/>
      <c r="J109" s="101"/>
    </row>
    <row r="110" spans="1:10" s="242" customFormat="1" ht="31.5">
      <c r="A110" s="235" t="s">
        <v>165</v>
      </c>
      <c r="B110" s="235" t="s">
        <v>166</v>
      </c>
      <c r="C110" s="236" t="s">
        <v>112</v>
      </c>
      <c r="D110" s="236">
        <v>0.2</v>
      </c>
      <c r="E110" s="244">
        <v>10</v>
      </c>
      <c r="F110" s="237">
        <f>365*24</f>
        <v>8760</v>
      </c>
      <c r="G110" s="246">
        <v>388400000</v>
      </c>
      <c r="H110" s="239">
        <f t="shared" ref="H110:H126" si="18">G110/(E110*F110)</f>
        <v>4433.7899543378999</v>
      </c>
      <c r="I110" s="240">
        <f>H110*D110</f>
        <v>886.75799086758002</v>
      </c>
      <c r="J110" s="241" t="s">
        <v>509</v>
      </c>
    </row>
    <row r="111" spans="1:10" s="96" customFormat="1" ht="31.5">
      <c r="A111" s="107" t="s">
        <v>167</v>
      </c>
      <c r="B111" s="101" t="s">
        <v>117</v>
      </c>
      <c r="C111" s="111" t="s">
        <v>112</v>
      </c>
      <c r="D111" s="111">
        <v>0.2</v>
      </c>
      <c r="E111" s="97">
        <v>10</v>
      </c>
      <c r="F111" s="112">
        <f t="shared" ref="F111:F126" si="19">365*8</f>
        <v>2920</v>
      </c>
      <c r="G111" s="123">
        <f>G95</f>
        <v>34800000</v>
      </c>
      <c r="H111" s="114">
        <f t="shared" si="18"/>
        <v>1191.7808219178082</v>
      </c>
      <c r="I111" s="115">
        <f>H111*D111</f>
        <v>238.35616438356166</v>
      </c>
      <c r="J111" s="135" t="s">
        <v>513</v>
      </c>
    </row>
    <row r="112" spans="1:10" s="96" customFormat="1" ht="31.5">
      <c r="A112" s="107" t="s">
        <v>168</v>
      </c>
      <c r="B112" s="107" t="s">
        <v>116</v>
      </c>
      <c r="C112" s="111" t="s">
        <v>112</v>
      </c>
      <c r="D112" s="111">
        <v>0.2</v>
      </c>
      <c r="E112" s="97">
        <v>10</v>
      </c>
      <c r="F112" s="112">
        <f t="shared" si="19"/>
        <v>2920</v>
      </c>
      <c r="G112" s="123">
        <f>G96</f>
        <v>9500000</v>
      </c>
      <c r="H112" s="114">
        <f t="shared" si="18"/>
        <v>325.34246575342468</v>
      </c>
      <c r="I112" s="115">
        <f>H112*D112</f>
        <v>65.068493150684944</v>
      </c>
      <c r="J112" s="135" t="s">
        <v>512</v>
      </c>
    </row>
    <row r="113" spans="1:10" s="96" customFormat="1" ht="31.5">
      <c r="A113" s="107" t="s">
        <v>169</v>
      </c>
      <c r="B113" s="107" t="s">
        <v>155</v>
      </c>
      <c r="C113" s="111" t="s">
        <v>112</v>
      </c>
      <c r="D113" s="111">
        <v>2</v>
      </c>
      <c r="E113" s="97">
        <v>10</v>
      </c>
      <c r="F113" s="112">
        <f t="shared" si="19"/>
        <v>2920</v>
      </c>
      <c r="G113" s="123">
        <f>G98</f>
        <v>19550000</v>
      </c>
      <c r="H113" s="114">
        <f t="shared" si="18"/>
        <v>669.52054794520552</v>
      </c>
      <c r="I113" s="115">
        <f t="shared" ref="I113:I126" si="20">H113*D113</f>
        <v>1339.041095890411</v>
      </c>
      <c r="J113" s="135" t="s">
        <v>526</v>
      </c>
    </row>
    <row r="114" spans="1:10" s="96" customFormat="1" ht="31.5">
      <c r="A114" s="107" t="s">
        <v>170</v>
      </c>
      <c r="B114" s="107" t="s">
        <v>171</v>
      </c>
      <c r="C114" s="111" t="s">
        <v>112</v>
      </c>
      <c r="D114" s="111">
        <v>72</v>
      </c>
      <c r="E114" s="97">
        <v>10</v>
      </c>
      <c r="F114" s="112">
        <f t="shared" si="19"/>
        <v>2920</v>
      </c>
      <c r="G114" s="123">
        <v>55000000</v>
      </c>
      <c r="H114" s="114">
        <f t="shared" si="18"/>
        <v>1883.5616438356165</v>
      </c>
      <c r="I114" s="115">
        <f t="shared" si="20"/>
        <v>135616.43835616438</v>
      </c>
      <c r="J114" s="135" t="s">
        <v>535</v>
      </c>
    </row>
    <row r="115" spans="1:10" s="96" customFormat="1" ht="31.5">
      <c r="A115" s="107" t="s">
        <v>172</v>
      </c>
      <c r="B115" s="107" t="s">
        <v>118</v>
      </c>
      <c r="C115" s="111" t="s">
        <v>112</v>
      </c>
      <c r="D115" s="111">
        <v>2</v>
      </c>
      <c r="E115" s="97">
        <v>10</v>
      </c>
      <c r="F115" s="112">
        <f t="shared" si="19"/>
        <v>2920</v>
      </c>
      <c r="G115" s="123">
        <f>G97</f>
        <v>22000000</v>
      </c>
      <c r="H115" s="114">
        <f t="shared" si="18"/>
        <v>753.42465753424653</v>
      </c>
      <c r="I115" s="115">
        <f t="shared" si="20"/>
        <v>1506.8493150684931</v>
      </c>
      <c r="J115" s="135" t="s">
        <v>523</v>
      </c>
    </row>
    <row r="116" spans="1:10" s="96" customFormat="1" ht="31.5">
      <c r="A116" s="107" t="s">
        <v>173</v>
      </c>
      <c r="B116" s="107" t="s">
        <v>174</v>
      </c>
      <c r="C116" s="111" t="s">
        <v>112</v>
      </c>
      <c r="D116" s="111">
        <v>0.5</v>
      </c>
      <c r="E116" s="97">
        <v>10</v>
      </c>
      <c r="F116" s="112">
        <f t="shared" si="19"/>
        <v>2920</v>
      </c>
      <c r="G116" s="123">
        <v>89000000</v>
      </c>
      <c r="H116" s="114">
        <f t="shared" si="18"/>
        <v>3047.9452054794519</v>
      </c>
      <c r="I116" s="115">
        <f t="shared" si="20"/>
        <v>1523.972602739726</v>
      </c>
      <c r="J116" s="135" t="s">
        <v>529</v>
      </c>
    </row>
    <row r="117" spans="1:10" s="96" customFormat="1" ht="31.5">
      <c r="A117" s="107" t="s">
        <v>175</v>
      </c>
      <c r="B117" s="107" t="s">
        <v>176</v>
      </c>
      <c r="C117" s="111" t="s">
        <v>112</v>
      </c>
      <c r="D117" s="111">
        <v>0.5</v>
      </c>
      <c r="E117" s="97">
        <v>10</v>
      </c>
      <c r="F117" s="112">
        <f t="shared" si="19"/>
        <v>2920</v>
      </c>
      <c r="G117" s="123">
        <v>89000000</v>
      </c>
      <c r="H117" s="114">
        <f t="shared" si="18"/>
        <v>3047.9452054794519</v>
      </c>
      <c r="I117" s="115">
        <f t="shared" si="20"/>
        <v>1523.972602739726</v>
      </c>
      <c r="J117" s="135" t="s">
        <v>529</v>
      </c>
    </row>
    <row r="118" spans="1:10" s="96" customFormat="1">
      <c r="A118" s="107" t="s">
        <v>177</v>
      </c>
      <c r="B118" s="107" t="s">
        <v>178</v>
      </c>
      <c r="C118" s="111" t="s">
        <v>112</v>
      </c>
      <c r="D118" s="111">
        <v>0.3</v>
      </c>
      <c r="E118" s="97">
        <v>10</v>
      </c>
      <c r="F118" s="112">
        <f t="shared" si="19"/>
        <v>2920</v>
      </c>
      <c r="G118" s="123">
        <v>12000000</v>
      </c>
      <c r="H118" s="114">
        <f t="shared" si="18"/>
        <v>410.95890410958901</v>
      </c>
      <c r="I118" s="115">
        <f t="shared" si="20"/>
        <v>123.2876712328767</v>
      </c>
      <c r="J118" s="150"/>
    </row>
    <row r="119" spans="1:10" s="96" customFormat="1" ht="15.75" customHeight="1">
      <c r="A119" s="107" t="s">
        <v>179</v>
      </c>
      <c r="B119" s="107" t="s">
        <v>158</v>
      </c>
      <c r="C119" s="111" t="s">
        <v>112</v>
      </c>
      <c r="D119" s="111">
        <v>0.16</v>
      </c>
      <c r="E119" s="97">
        <v>5</v>
      </c>
      <c r="F119" s="112">
        <f t="shared" si="19"/>
        <v>2920</v>
      </c>
      <c r="G119" s="123">
        <v>10000000</v>
      </c>
      <c r="H119" s="114">
        <f t="shared" si="18"/>
        <v>684.93150684931504</v>
      </c>
      <c r="I119" s="115">
        <f t="shared" si="20"/>
        <v>109.58904109589041</v>
      </c>
      <c r="J119" s="297" t="s">
        <v>491</v>
      </c>
    </row>
    <row r="120" spans="1:10" s="96" customFormat="1" ht="21" customHeight="1">
      <c r="A120" s="107" t="s">
        <v>180</v>
      </c>
      <c r="B120" s="107" t="s">
        <v>138</v>
      </c>
      <c r="C120" s="111" t="s">
        <v>112</v>
      </c>
      <c r="D120" s="111">
        <v>0.16</v>
      </c>
      <c r="E120" s="97">
        <v>5</v>
      </c>
      <c r="F120" s="112">
        <f t="shared" si="19"/>
        <v>2920</v>
      </c>
      <c r="G120" s="123">
        <v>3580000</v>
      </c>
      <c r="H120" s="114">
        <f t="shared" si="18"/>
        <v>245.20547945205479</v>
      </c>
      <c r="I120" s="115">
        <f t="shared" si="20"/>
        <v>39.232876712328768</v>
      </c>
      <c r="J120" s="298"/>
    </row>
    <row r="121" spans="1:10" s="96" customFormat="1" ht="21" customHeight="1">
      <c r="A121" s="107" t="s">
        <v>181</v>
      </c>
      <c r="B121" s="107" t="s">
        <v>139</v>
      </c>
      <c r="C121" s="111" t="s">
        <v>112</v>
      </c>
      <c r="D121" s="111">
        <v>0.5</v>
      </c>
      <c r="E121" s="97">
        <v>8</v>
      </c>
      <c r="F121" s="112">
        <f t="shared" si="19"/>
        <v>2920</v>
      </c>
      <c r="G121" s="123">
        <v>2500000</v>
      </c>
      <c r="H121" s="114">
        <f t="shared" si="18"/>
        <v>107.02054794520548</v>
      </c>
      <c r="I121" s="115">
        <f t="shared" si="20"/>
        <v>53.510273972602739</v>
      </c>
      <c r="J121" s="298"/>
    </row>
    <row r="122" spans="1:10" s="96" customFormat="1" ht="21" customHeight="1">
      <c r="A122" s="107" t="s">
        <v>182</v>
      </c>
      <c r="B122" s="107" t="s">
        <v>140</v>
      </c>
      <c r="C122" s="111" t="s">
        <v>112</v>
      </c>
      <c r="D122" s="111">
        <v>0.5</v>
      </c>
      <c r="E122" s="97">
        <v>8</v>
      </c>
      <c r="F122" s="112">
        <f t="shared" si="19"/>
        <v>2920</v>
      </c>
      <c r="G122" s="123">
        <v>850000</v>
      </c>
      <c r="H122" s="114">
        <f t="shared" si="18"/>
        <v>36.386986301369866</v>
      </c>
      <c r="I122" s="115">
        <f t="shared" si="20"/>
        <v>18.193493150684933</v>
      </c>
      <c r="J122" s="298"/>
    </row>
    <row r="123" spans="1:10" s="96" customFormat="1" ht="21" customHeight="1">
      <c r="A123" s="107" t="s">
        <v>183</v>
      </c>
      <c r="B123" s="107" t="s">
        <v>141</v>
      </c>
      <c r="C123" s="111" t="s">
        <v>112</v>
      </c>
      <c r="D123" s="111">
        <v>2</v>
      </c>
      <c r="E123" s="97">
        <v>5</v>
      </c>
      <c r="F123" s="112">
        <f t="shared" si="19"/>
        <v>2920</v>
      </c>
      <c r="G123" s="123">
        <v>745000</v>
      </c>
      <c r="H123" s="114">
        <f t="shared" si="18"/>
        <v>51.027397260273972</v>
      </c>
      <c r="I123" s="115">
        <f t="shared" si="20"/>
        <v>102.05479452054794</v>
      </c>
      <c r="J123" s="298"/>
    </row>
    <row r="124" spans="1:10" s="96" customFormat="1" ht="21" customHeight="1">
      <c r="A124" s="107" t="s">
        <v>184</v>
      </c>
      <c r="B124" s="107" t="s">
        <v>142</v>
      </c>
      <c r="C124" s="111" t="s">
        <v>112</v>
      </c>
      <c r="D124" s="111">
        <v>2</v>
      </c>
      <c r="E124" s="97">
        <v>5</v>
      </c>
      <c r="F124" s="112">
        <f t="shared" si="19"/>
        <v>2920</v>
      </c>
      <c r="G124" s="123">
        <v>150000</v>
      </c>
      <c r="H124" s="114">
        <f t="shared" si="18"/>
        <v>10.273972602739725</v>
      </c>
      <c r="I124" s="115">
        <f t="shared" si="20"/>
        <v>20.547945205479451</v>
      </c>
      <c r="J124" s="299"/>
    </row>
    <row r="125" spans="1:10" s="96" customFormat="1">
      <c r="A125" s="107" t="s">
        <v>185</v>
      </c>
      <c r="B125" s="250" t="s">
        <v>163</v>
      </c>
      <c r="C125" s="111" t="s">
        <v>112</v>
      </c>
      <c r="D125" s="111">
        <v>2</v>
      </c>
      <c r="E125" s="247">
        <v>8</v>
      </c>
      <c r="F125" s="112">
        <f t="shared" si="19"/>
        <v>2920</v>
      </c>
      <c r="G125" s="248">
        <v>17260000</v>
      </c>
      <c r="H125" s="249">
        <f t="shared" si="18"/>
        <v>738.86986301369859</v>
      </c>
      <c r="I125" s="113">
        <f t="shared" si="20"/>
        <v>1477.7397260273972</v>
      </c>
      <c r="J125" s="96" t="s">
        <v>520</v>
      </c>
    </row>
    <row r="126" spans="1:10" s="96" customFormat="1" ht="31.5">
      <c r="A126" s="107" t="s">
        <v>186</v>
      </c>
      <c r="B126" s="107" t="s">
        <v>159</v>
      </c>
      <c r="C126" s="111" t="s">
        <v>112</v>
      </c>
      <c r="D126" s="111">
        <v>3</v>
      </c>
      <c r="E126" s="97">
        <v>5</v>
      </c>
      <c r="F126" s="112">
        <f t="shared" si="19"/>
        <v>2920</v>
      </c>
      <c r="G126" s="123">
        <v>11900000</v>
      </c>
      <c r="H126" s="114">
        <f t="shared" si="18"/>
        <v>815.06849315068496</v>
      </c>
      <c r="I126" s="115">
        <f t="shared" si="20"/>
        <v>2445.205479452055</v>
      </c>
      <c r="J126" s="135" t="s">
        <v>528</v>
      </c>
    </row>
    <row r="127" spans="1:10" s="96" customFormat="1">
      <c r="A127" s="107"/>
      <c r="B127" s="102" t="s">
        <v>9</v>
      </c>
      <c r="C127" s="108"/>
      <c r="D127" s="108"/>
      <c r="E127" s="109"/>
      <c r="F127" s="110"/>
      <c r="G127" s="109"/>
      <c r="H127" s="109"/>
      <c r="I127" s="104">
        <f>SUM(I110:I126)</f>
        <v>147089.81792237447</v>
      </c>
      <c r="J127" s="97"/>
    </row>
    <row r="128" spans="1:10" s="96" customFormat="1">
      <c r="A128" s="127" t="s">
        <v>187</v>
      </c>
    </row>
    <row r="129" spans="1:10" s="96" customFormat="1" ht="34.5" customHeight="1">
      <c r="A129" s="290" t="s">
        <v>103</v>
      </c>
      <c r="B129" s="290" t="s">
        <v>104</v>
      </c>
      <c r="C129" s="290" t="s">
        <v>105</v>
      </c>
      <c r="D129" s="290" t="s">
        <v>188</v>
      </c>
      <c r="E129" s="290" t="s">
        <v>107</v>
      </c>
      <c r="F129" s="290" t="s">
        <v>490</v>
      </c>
      <c r="G129" s="290" t="s">
        <v>108</v>
      </c>
      <c r="H129" s="290" t="s">
        <v>109</v>
      </c>
      <c r="I129" s="290" t="s">
        <v>110</v>
      </c>
      <c r="J129" s="290" t="s">
        <v>43</v>
      </c>
    </row>
    <row r="130" spans="1:10" s="96" customFormat="1">
      <c r="A130" s="290"/>
      <c r="B130" s="290"/>
      <c r="C130" s="290"/>
      <c r="D130" s="290"/>
      <c r="E130" s="290"/>
      <c r="F130" s="290"/>
      <c r="G130" s="290"/>
      <c r="H130" s="290"/>
      <c r="I130" s="290"/>
      <c r="J130" s="290"/>
    </row>
    <row r="131" spans="1:10" s="96" customFormat="1">
      <c r="A131" s="108" t="s">
        <v>44</v>
      </c>
      <c r="B131" s="294" t="s">
        <v>483</v>
      </c>
      <c r="C131" s="294"/>
      <c r="D131" s="294"/>
      <c r="E131" s="294"/>
      <c r="F131" s="294"/>
      <c r="G131" s="294"/>
      <c r="H131" s="294"/>
      <c r="I131" s="294"/>
      <c r="J131" s="101"/>
    </row>
    <row r="132" spans="1:10" s="242" customFormat="1" ht="31.5">
      <c r="A132" s="234">
        <v>1</v>
      </c>
      <c r="B132" s="235" t="s">
        <v>189</v>
      </c>
      <c r="C132" s="236" t="s">
        <v>112</v>
      </c>
      <c r="D132" s="236">
        <v>2.7</v>
      </c>
      <c r="E132" s="234">
        <v>10</v>
      </c>
      <c r="F132" s="237">
        <f>365*24</f>
        <v>8760</v>
      </c>
      <c r="G132" s="238">
        <v>12963000000</v>
      </c>
      <c r="H132" s="239">
        <f>G132/(E132*F132)</f>
        <v>147979.45205479453</v>
      </c>
      <c r="I132" s="240">
        <f>H132*D132</f>
        <v>399544.52054794523</v>
      </c>
      <c r="J132" s="241" t="s">
        <v>510</v>
      </c>
    </row>
    <row r="133" spans="1:10" s="96" customFormat="1" ht="31.5">
      <c r="A133" s="100">
        <v>2</v>
      </c>
      <c r="B133" s="101" t="s">
        <v>117</v>
      </c>
      <c r="C133" s="111" t="s">
        <v>112</v>
      </c>
      <c r="D133" s="111">
        <v>0.4</v>
      </c>
      <c r="E133" s="100">
        <v>10</v>
      </c>
      <c r="F133" s="112">
        <f t="shared" ref="F133:F148" si="21">365*8</f>
        <v>2920</v>
      </c>
      <c r="G133" s="123">
        <v>34800000</v>
      </c>
      <c r="H133" s="114">
        <f t="shared" ref="H133:H148" si="22">G133/(E133*F133)</f>
        <v>1191.7808219178082</v>
      </c>
      <c r="I133" s="115">
        <f t="shared" ref="I133:I148" si="23">H133*D133</f>
        <v>476.71232876712332</v>
      </c>
      <c r="J133" s="135" t="s">
        <v>513</v>
      </c>
    </row>
    <row r="134" spans="1:10" s="96" customFormat="1" ht="31.5">
      <c r="A134" s="100">
        <v>3</v>
      </c>
      <c r="B134" s="107" t="s">
        <v>116</v>
      </c>
      <c r="C134" s="111" t="s">
        <v>112</v>
      </c>
      <c r="D134" s="111">
        <v>0.4</v>
      </c>
      <c r="E134" s="100">
        <v>10</v>
      </c>
      <c r="F134" s="112">
        <f t="shared" si="21"/>
        <v>2920</v>
      </c>
      <c r="G134" s="123">
        <v>9500000</v>
      </c>
      <c r="H134" s="114">
        <f t="shared" si="22"/>
        <v>325.34246575342468</v>
      </c>
      <c r="I134" s="115">
        <f t="shared" si="23"/>
        <v>130.13698630136989</v>
      </c>
      <c r="J134" s="135" t="s">
        <v>512</v>
      </c>
    </row>
    <row r="135" spans="1:10" s="96" customFormat="1" ht="31.5">
      <c r="A135" s="100">
        <v>4</v>
      </c>
      <c r="B135" s="107" t="s">
        <v>155</v>
      </c>
      <c r="C135" s="111" t="s">
        <v>112</v>
      </c>
      <c r="D135" s="111">
        <v>1</v>
      </c>
      <c r="E135" s="100">
        <v>10</v>
      </c>
      <c r="F135" s="112">
        <f t="shared" si="21"/>
        <v>2920</v>
      </c>
      <c r="G135" s="123">
        <v>19550000</v>
      </c>
      <c r="H135" s="114">
        <f t="shared" si="22"/>
        <v>669.52054794520552</v>
      </c>
      <c r="I135" s="115">
        <f t="shared" si="23"/>
        <v>669.52054794520552</v>
      </c>
      <c r="J135" s="135" t="s">
        <v>526</v>
      </c>
    </row>
    <row r="136" spans="1:10" s="96" customFormat="1" ht="31.5">
      <c r="A136" s="100">
        <v>5</v>
      </c>
      <c r="B136" s="107" t="s">
        <v>190</v>
      </c>
      <c r="C136" s="111" t="s">
        <v>112</v>
      </c>
      <c r="D136" s="111">
        <v>0.5</v>
      </c>
      <c r="E136" s="100">
        <v>10</v>
      </c>
      <c r="F136" s="112">
        <f t="shared" si="21"/>
        <v>2920</v>
      </c>
      <c r="G136" s="137">
        <v>138844000</v>
      </c>
      <c r="H136" s="114">
        <f t="shared" si="22"/>
        <v>4754.9315068493152</v>
      </c>
      <c r="I136" s="115">
        <f t="shared" si="23"/>
        <v>2377.4657534246576</v>
      </c>
      <c r="J136" s="135" t="s">
        <v>530</v>
      </c>
    </row>
    <row r="137" spans="1:10" s="96" customFormat="1" ht="31.5">
      <c r="A137" s="100">
        <v>6</v>
      </c>
      <c r="B137" s="107" t="s">
        <v>191</v>
      </c>
      <c r="C137" s="111" t="s">
        <v>112</v>
      </c>
      <c r="D137" s="111">
        <v>0.5</v>
      </c>
      <c r="E137" s="100">
        <v>10</v>
      </c>
      <c r="F137" s="112">
        <f t="shared" si="21"/>
        <v>2920</v>
      </c>
      <c r="G137" s="137">
        <v>97800000</v>
      </c>
      <c r="H137" s="114">
        <f t="shared" si="22"/>
        <v>3349.3150684931506</v>
      </c>
      <c r="I137" s="115">
        <f t="shared" si="23"/>
        <v>1674.6575342465753</v>
      </c>
      <c r="J137" s="135" t="s">
        <v>531</v>
      </c>
    </row>
    <row r="138" spans="1:10" s="96" customFormat="1" ht="31.5">
      <c r="A138" s="100">
        <v>7</v>
      </c>
      <c r="B138" s="107" t="s">
        <v>192</v>
      </c>
      <c r="C138" s="111" t="s">
        <v>112</v>
      </c>
      <c r="D138" s="111">
        <v>0.2</v>
      </c>
      <c r="E138" s="100">
        <v>10</v>
      </c>
      <c r="F138" s="112">
        <f t="shared" si="21"/>
        <v>2920</v>
      </c>
      <c r="G138" s="123">
        <v>237700000</v>
      </c>
      <c r="H138" s="114">
        <f t="shared" si="22"/>
        <v>8140.41095890411</v>
      </c>
      <c r="I138" s="115">
        <f t="shared" si="23"/>
        <v>1628.0821917808221</v>
      </c>
      <c r="J138" s="135" t="s">
        <v>532</v>
      </c>
    </row>
    <row r="139" spans="1:10" s="96" customFormat="1" ht="31.5">
      <c r="A139" s="100">
        <v>8</v>
      </c>
      <c r="B139" s="107" t="s">
        <v>193</v>
      </c>
      <c r="C139" s="111" t="s">
        <v>112</v>
      </c>
      <c r="D139" s="111">
        <v>0.3</v>
      </c>
      <c r="E139" s="100">
        <v>10</v>
      </c>
      <c r="F139" s="112">
        <f t="shared" si="21"/>
        <v>2920</v>
      </c>
      <c r="G139" s="123">
        <v>211494000</v>
      </c>
      <c r="H139" s="114">
        <f t="shared" si="22"/>
        <v>7242.9452054794519</v>
      </c>
      <c r="I139" s="115">
        <f t="shared" si="23"/>
        <v>2172.8835616438355</v>
      </c>
      <c r="J139" s="135" t="s">
        <v>533</v>
      </c>
    </row>
    <row r="140" spans="1:10" s="96" customFormat="1" ht="31.5">
      <c r="A140" s="100">
        <v>9</v>
      </c>
      <c r="B140" s="107" t="s">
        <v>484</v>
      </c>
      <c r="C140" s="111" t="s">
        <v>112</v>
      </c>
      <c r="D140" s="111">
        <v>0.2</v>
      </c>
      <c r="E140" s="100">
        <v>10</v>
      </c>
      <c r="F140" s="112">
        <f t="shared" si="21"/>
        <v>2920</v>
      </c>
      <c r="G140" s="123">
        <v>18500000</v>
      </c>
      <c r="H140" s="114">
        <f t="shared" si="22"/>
        <v>633.56164383561645</v>
      </c>
      <c r="I140" s="115">
        <f t="shared" si="23"/>
        <v>126.7123287671233</v>
      </c>
      <c r="J140" s="135" t="s">
        <v>534</v>
      </c>
    </row>
    <row r="141" spans="1:10" s="96" customFormat="1">
      <c r="A141" s="100">
        <v>10</v>
      </c>
      <c r="B141" s="107" t="s">
        <v>158</v>
      </c>
      <c r="C141" s="111" t="s">
        <v>112</v>
      </c>
      <c r="D141" s="111">
        <v>2.7</v>
      </c>
      <c r="E141" s="100">
        <v>5</v>
      </c>
      <c r="F141" s="112">
        <f t="shared" si="21"/>
        <v>2920</v>
      </c>
      <c r="G141" s="123">
        <v>10000000</v>
      </c>
      <c r="H141" s="114">
        <f t="shared" si="22"/>
        <v>684.93150684931504</v>
      </c>
      <c r="I141" s="115">
        <f t="shared" si="23"/>
        <v>1849.3150684931506</v>
      </c>
      <c r="J141" s="297" t="s">
        <v>491</v>
      </c>
    </row>
    <row r="142" spans="1:10" s="96" customFormat="1" ht="21.75" customHeight="1">
      <c r="A142" s="100">
        <v>11</v>
      </c>
      <c r="B142" s="107" t="s">
        <v>138</v>
      </c>
      <c r="C142" s="111" t="s">
        <v>112</v>
      </c>
      <c r="D142" s="111">
        <v>0.16</v>
      </c>
      <c r="E142" s="100">
        <v>5</v>
      </c>
      <c r="F142" s="112">
        <f t="shared" si="21"/>
        <v>2920</v>
      </c>
      <c r="G142" s="123">
        <v>3580000</v>
      </c>
      <c r="H142" s="114">
        <f t="shared" si="22"/>
        <v>245.20547945205479</v>
      </c>
      <c r="I142" s="115">
        <f t="shared" si="23"/>
        <v>39.232876712328768</v>
      </c>
      <c r="J142" s="298"/>
    </row>
    <row r="143" spans="1:10" s="96" customFormat="1" ht="21.75" customHeight="1">
      <c r="A143" s="100">
        <v>12</v>
      </c>
      <c r="B143" s="107" t="s">
        <v>139</v>
      </c>
      <c r="C143" s="111" t="s">
        <v>112</v>
      </c>
      <c r="D143" s="111">
        <v>0.5</v>
      </c>
      <c r="E143" s="100">
        <v>8</v>
      </c>
      <c r="F143" s="112">
        <f t="shared" si="21"/>
        <v>2920</v>
      </c>
      <c r="G143" s="123">
        <v>2500000</v>
      </c>
      <c r="H143" s="114">
        <f t="shared" si="22"/>
        <v>107.02054794520548</v>
      </c>
      <c r="I143" s="115">
        <f t="shared" si="23"/>
        <v>53.510273972602739</v>
      </c>
      <c r="J143" s="298"/>
    </row>
    <row r="144" spans="1:10" s="96" customFormat="1" ht="30.75" customHeight="1">
      <c r="A144" s="100">
        <v>13</v>
      </c>
      <c r="B144" s="107" t="s">
        <v>140</v>
      </c>
      <c r="C144" s="111" t="s">
        <v>112</v>
      </c>
      <c r="D144" s="111">
        <v>0.5</v>
      </c>
      <c r="E144" s="100">
        <v>8</v>
      </c>
      <c r="F144" s="112">
        <f t="shared" si="21"/>
        <v>2920</v>
      </c>
      <c r="G144" s="123">
        <v>850000</v>
      </c>
      <c r="H144" s="114">
        <f t="shared" si="22"/>
        <v>36.386986301369866</v>
      </c>
      <c r="I144" s="115">
        <f t="shared" si="23"/>
        <v>18.193493150684933</v>
      </c>
      <c r="J144" s="298"/>
    </row>
    <row r="145" spans="1:10" s="96" customFormat="1" ht="21.75" customHeight="1">
      <c r="A145" s="100">
        <v>14</v>
      </c>
      <c r="B145" s="107" t="s">
        <v>141</v>
      </c>
      <c r="C145" s="111" t="s">
        <v>112</v>
      </c>
      <c r="D145" s="111">
        <v>2.7</v>
      </c>
      <c r="E145" s="100">
        <v>5</v>
      </c>
      <c r="F145" s="112">
        <f t="shared" si="21"/>
        <v>2920</v>
      </c>
      <c r="G145" s="123">
        <v>745000</v>
      </c>
      <c r="H145" s="114">
        <f t="shared" si="22"/>
        <v>51.027397260273972</v>
      </c>
      <c r="I145" s="115">
        <f t="shared" si="23"/>
        <v>137.77397260273975</v>
      </c>
      <c r="J145" s="298"/>
    </row>
    <row r="146" spans="1:10" s="96" customFormat="1" ht="21.75" customHeight="1">
      <c r="A146" s="100">
        <v>15</v>
      </c>
      <c r="B146" s="107" t="s">
        <v>142</v>
      </c>
      <c r="C146" s="111" t="s">
        <v>112</v>
      </c>
      <c r="D146" s="111">
        <v>2.7</v>
      </c>
      <c r="E146" s="100">
        <v>5</v>
      </c>
      <c r="F146" s="112">
        <f t="shared" si="21"/>
        <v>2920</v>
      </c>
      <c r="G146" s="123">
        <v>150000</v>
      </c>
      <c r="H146" s="114">
        <f t="shared" si="22"/>
        <v>10.273972602739725</v>
      </c>
      <c r="I146" s="115">
        <f t="shared" si="23"/>
        <v>27.739726027397261</v>
      </c>
      <c r="J146" s="299"/>
    </row>
    <row r="147" spans="1:10" s="96" customFormat="1">
      <c r="A147" s="100">
        <v>16</v>
      </c>
      <c r="B147" s="250" t="s">
        <v>163</v>
      </c>
      <c r="C147" s="111" t="s">
        <v>112</v>
      </c>
      <c r="D147" s="111">
        <v>2.7</v>
      </c>
      <c r="E147" s="100">
        <v>8</v>
      </c>
      <c r="F147" s="112">
        <f>365*24</f>
        <v>8760</v>
      </c>
      <c r="G147" s="248">
        <v>17260000</v>
      </c>
      <c r="H147" s="249">
        <f t="shared" si="22"/>
        <v>246.28995433789953</v>
      </c>
      <c r="I147" s="113">
        <f t="shared" si="23"/>
        <v>664.98287671232879</v>
      </c>
      <c r="J147" s="96" t="s">
        <v>520</v>
      </c>
    </row>
    <row r="148" spans="1:10" s="96" customFormat="1" ht="31.5">
      <c r="A148" s="100">
        <v>17</v>
      </c>
      <c r="B148" s="107" t="s">
        <v>159</v>
      </c>
      <c r="C148" s="111" t="s">
        <v>112</v>
      </c>
      <c r="D148" s="111">
        <v>3</v>
      </c>
      <c r="E148" s="100">
        <v>5</v>
      </c>
      <c r="F148" s="112">
        <f t="shared" si="21"/>
        <v>2920</v>
      </c>
      <c r="G148" s="123">
        <v>11900000</v>
      </c>
      <c r="H148" s="114">
        <f t="shared" si="22"/>
        <v>815.06849315068496</v>
      </c>
      <c r="I148" s="115">
        <f t="shared" si="23"/>
        <v>2445.205479452055</v>
      </c>
      <c r="J148" s="135" t="s">
        <v>528</v>
      </c>
    </row>
    <row r="149" spans="1:10" s="96" customFormat="1">
      <c r="A149" s="102"/>
      <c r="B149" s="118" t="s">
        <v>9</v>
      </c>
      <c r="C149" s="102"/>
      <c r="D149" s="102"/>
      <c r="E149" s="102"/>
      <c r="F149" s="102"/>
      <c r="G149" s="102"/>
      <c r="H149" s="103"/>
      <c r="I149" s="104">
        <f>SUM(I132:I148)</f>
        <v>414036.64554794529</v>
      </c>
      <c r="J149" s="97"/>
    </row>
    <row r="150" spans="1:10" s="96" customFormat="1">
      <c r="A150" s="102" t="s">
        <v>83</v>
      </c>
      <c r="B150" s="294" t="s">
        <v>485</v>
      </c>
      <c r="C150" s="295"/>
      <c r="D150" s="295"/>
      <c r="E150" s="295"/>
      <c r="F150" s="295"/>
      <c r="G150" s="295"/>
      <c r="H150" s="295"/>
      <c r="I150" s="295"/>
      <c r="J150" s="97"/>
    </row>
    <row r="151" spans="1:10" s="242" customFormat="1" ht="31.5">
      <c r="A151" s="234">
        <v>1</v>
      </c>
      <c r="B151" s="235" t="s">
        <v>194</v>
      </c>
      <c r="C151" s="236" t="s">
        <v>112</v>
      </c>
      <c r="D151" s="236">
        <v>4.5</v>
      </c>
      <c r="E151" s="244">
        <v>10</v>
      </c>
      <c r="F151" s="237">
        <f>365*24</f>
        <v>8760</v>
      </c>
      <c r="G151" s="245">
        <v>8977000000</v>
      </c>
      <c r="H151" s="239">
        <f t="shared" ref="H151:H158" si="24">G151/(E151*F151)</f>
        <v>102477.16894977169</v>
      </c>
      <c r="I151" s="240">
        <f t="shared" ref="I151:I158" si="25">H151*D151</f>
        <v>461147.26027397258</v>
      </c>
      <c r="J151" s="241" t="s">
        <v>509</v>
      </c>
    </row>
    <row r="152" spans="1:10" s="96" customFormat="1" ht="31.5">
      <c r="A152" s="100">
        <v>2</v>
      </c>
      <c r="B152" s="101" t="s">
        <v>117</v>
      </c>
      <c r="C152" s="111" t="s">
        <v>112</v>
      </c>
      <c r="D152" s="111">
        <v>0.4</v>
      </c>
      <c r="E152" s="97">
        <v>10</v>
      </c>
      <c r="F152" s="112">
        <f t="shared" ref="F152:F158" si="26">365*8</f>
        <v>2920</v>
      </c>
      <c r="G152" s="123">
        <v>34800000</v>
      </c>
      <c r="H152" s="114">
        <f t="shared" si="24"/>
        <v>1191.7808219178082</v>
      </c>
      <c r="I152" s="115">
        <f t="shared" si="25"/>
        <v>476.71232876712332</v>
      </c>
      <c r="J152" s="135" t="s">
        <v>513</v>
      </c>
    </row>
    <row r="153" spans="1:10" s="96" customFormat="1" ht="31.5">
      <c r="A153" s="100">
        <v>3</v>
      </c>
      <c r="B153" s="107" t="s">
        <v>116</v>
      </c>
      <c r="C153" s="111" t="s">
        <v>112</v>
      </c>
      <c r="D153" s="111">
        <v>0.4</v>
      </c>
      <c r="E153" s="97">
        <v>10</v>
      </c>
      <c r="F153" s="112">
        <f t="shared" si="26"/>
        <v>2920</v>
      </c>
      <c r="G153" s="123">
        <v>9500000</v>
      </c>
      <c r="H153" s="114">
        <f t="shared" si="24"/>
        <v>325.34246575342468</v>
      </c>
      <c r="I153" s="115">
        <f t="shared" si="25"/>
        <v>130.13698630136989</v>
      </c>
      <c r="J153" s="135" t="s">
        <v>512</v>
      </c>
    </row>
    <row r="154" spans="1:10" s="96" customFormat="1" ht="31.5">
      <c r="A154" s="100">
        <v>4</v>
      </c>
      <c r="B154" s="107" t="s">
        <v>155</v>
      </c>
      <c r="C154" s="111" t="s">
        <v>112</v>
      </c>
      <c r="D154" s="111">
        <v>1</v>
      </c>
      <c r="E154" s="97">
        <v>10</v>
      </c>
      <c r="F154" s="112">
        <f t="shared" si="26"/>
        <v>2920</v>
      </c>
      <c r="G154" s="123">
        <v>19550000</v>
      </c>
      <c r="H154" s="114">
        <f t="shared" si="24"/>
        <v>669.52054794520552</v>
      </c>
      <c r="I154" s="115">
        <f t="shared" si="25"/>
        <v>669.52054794520552</v>
      </c>
      <c r="J154" s="135" t="s">
        <v>526</v>
      </c>
    </row>
    <row r="155" spans="1:10" s="96" customFormat="1" ht="31.5">
      <c r="A155" s="100">
        <v>5</v>
      </c>
      <c r="B155" s="107" t="s">
        <v>191</v>
      </c>
      <c r="C155" s="111" t="s">
        <v>112</v>
      </c>
      <c r="D155" s="111">
        <v>0.5</v>
      </c>
      <c r="E155" s="97">
        <v>10</v>
      </c>
      <c r="F155" s="112">
        <f t="shared" si="26"/>
        <v>2920</v>
      </c>
      <c r="G155" s="137">
        <v>97800000</v>
      </c>
      <c r="H155" s="114">
        <f t="shared" si="24"/>
        <v>3349.3150684931506</v>
      </c>
      <c r="I155" s="115">
        <f t="shared" si="25"/>
        <v>1674.6575342465753</v>
      </c>
      <c r="J155" s="135" t="s">
        <v>531</v>
      </c>
    </row>
    <row r="156" spans="1:10" s="96" customFormat="1" ht="31.5">
      <c r="A156" s="100">
        <v>6</v>
      </c>
      <c r="B156" s="107" t="s">
        <v>192</v>
      </c>
      <c r="C156" s="111" t="s">
        <v>112</v>
      </c>
      <c r="D156" s="111">
        <v>0.2</v>
      </c>
      <c r="E156" s="97">
        <v>10</v>
      </c>
      <c r="F156" s="112">
        <f t="shared" si="26"/>
        <v>2920</v>
      </c>
      <c r="G156" s="123">
        <v>237700000</v>
      </c>
      <c r="H156" s="114">
        <f t="shared" si="24"/>
        <v>8140.41095890411</v>
      </c>
      <c r="I156" s="115">
        <f t="shared" si="25"/>
        <v>1628.0821917808221</v>
      </c>
      <c r="J156" s="135" t="s">
        <v>532</v>
      </c>
    </row>
    <row r="157" spans="1:10" s="96" customFormat="1" ht="31.5">
      <c r="A157" s="100">
        <v>7</v>
      </c>
      <c r="B157" s="107" t="s">
        <v>193</v>
      </c>
      <c r="C157" s="111" t="s">
        <v>112</v>
      </c>
      <c r="D157" s="111">
        <v>0.3</v>
      </c>
      <c r="E157" s="97">
        <v>10</v>
      </c>
      <c r="F157" s="112">
        <f t="shared" si="26"/>
        <v>2920</v>
      </c>
      <c r="G157" s="123">
        <v>211494000</v>
      </c>
      <c r="H157" s="114">
        <f t="shared" si="24"/>
        <v>7242.9452054794519</v>
      </c>
      <c r="I157" s="115">
        <f t="shared" si="25"/>
        <v>2172.8835616438355</v>
      </c>
      <c r="J157" s="135" t="s">
        <v>533</v>
      </c>
    </row>
    <row r="158" spans="1:10" s="96" customFormat="1" ht="31.5">
      <c r="A158" s="100">
        <v>8</v>
      </c>
      <c r="B158" s="107" t="s">
        <v>484</v>
      </c>
      <c r="C158" s="111" t="s">
        <v>112</v>
      </c>
      <c r="D158" s="111">
        <v>0.16700000000000001</v>
      </c>
      <c r="E158" s="97">
        <v>10</v>
      </c>
      <c r="F158" s="112">
        <f t="shared" si="26"/>
        <v>2920</v>
      </c>
      <c r="G158" s="123">
        <v>18500000</v>
      </c>
      <c r="H158" s="114">
        <f t="shared" si="24"/>
        <v>633.56164383561645</v>
      </c>
      <c r="I158" s="115">
        <f t="shared" si="25"/>
        <v>105.80479452054796</v>
      </c>
      <c r="J158" s="135" t="s">
        <v>534</v>
      </c>
    </row>
    <row r="159" spans="1:10" s="96" customFormat="1">
      <c r="A159" s="102"/>
      <c r="B159" s="102" t="s">
        <v>9</v>
      </c>
      <c r="C159" s="102"/>
      <c r="D159" s="102"/>
      <c r="E159" s="102"/>
      <c r="F159" s="102"/>
      <c r="G159" s="102"/>
      <c r="H159" s="102"/>
      <c r="I159" s="104">
        <f>SUM(I151:I158)</f>
        <v>468005.05821917811</v>
      </c>
      <c r="J159" s="97"/>
    </row>
    <row r="160" spans="1:10" s="96" customFormat="1" ht="24.75" customHeight="1">
      <c r="A160" s="102" t="s">
        <v>164</v>
      </c>
      <c r="B160" s="294" t="s">
        <v>486</v>
      </c>
      <c r="C160" s="295"/>
      <c r="D160" s="295"/>
      <c r="E160" s="295"/>
      <c r="F160" s="295"/>
      <c r="G160" s="295"/>
      <c r="H160" s="295"/>
      <c r="I160" s="295"/>
      <c r="J160" s="97"/>
    </row>
    <row r="161" spans="1:10" s="242" customFormat="1" ht="33.75" customHeight="1">
      <c r="A161" s="234">
        <v>1</v>
      </c>
      <c r="B161" s="235" t="s">
        <v>189</v>
      </c>
      <c r="C161" s="236" t="s">
        <v>112</v>
      </c>
      <c r="D161" s="236">
        <v>2.7</v>
      </c>
      <c r="E161" s="234">
        <v>10</v>
      </c>
      <c r="F161" s="237">
        <f>365*24</f>
        <v>8760</v>
      </c>
      <c r="G161" s="243">
        <v>12963000000</v>
      </c>
      <c r="H161" s="239">
        <f t="shared" ref="H161:H169" si="27">G161/(E161*F161)</f>
        <v>147979.45205479453</v>
      </c>
      <c r="I161" s="240">
        <f t="shared" ref="I161:I169" si="28">H161*D161</f>
        <v>399544.52054794523</v>
      </c>
      <c r="J161" s="241" t="s">
        <v>509</v>
      </c>
    </row>
    <row r="162" spans="1:10" s="96" customFormat="1" ht="31.5">
      <c r="A162" s="100">
        <v>2</v>
      </c>
      <c r="B162" s="101" t="s">
        <v>117</v>
      </c>
      <c r="C162" s="111" t="s">
        <v>112</v>
      </c>
      <c r="D162" s="111">
        <v>0.4</v>
      </c>
      <c r="E162" s="100">
        <v>10</v>
      </c>
      <c r="F162" s="112">
        <f t="shared" ref="F162:F169" si="29">365*8</f>
        <v>2920</v>
      </c>
      <c r="G162" s="123">
        <v>34800000</v>
      </c>
      <c r="H162" s="114">
        <f t="shared" si="27"/>
        <v>1191.7808219178082</v>
      </c>
      <c r="I162" s="115">
        <f t="shared" si="28"/>
        <v>476.71232876712332</v>
      </c>
      <c r="J162" s="135" t="s">
        <v>513</v>
      </c>
    </row>
    <row r="163" spans="1:10" s="96" customFormat="1" ht="31.5">
      <c r="A163" s="100">
        <v>3</v>
      </c>
      <c r="B163" s="107" t="s">
        <v>116</v>
      </c>
      <c r="C163" s="111" t="s">
        <v>112</v>
      </c>
      <c r="D163" s="111">
        <v>0.4</v>
      </c>
      <c r="E163" s="100">
        <v>10</v>
      </c>
      <c r="F163" s="112">
        <f t="shared" si="29"/>
        <v>2920</v>
      </c>
      <c r="G163" s="123">
        <v>9500000</v>
      </c>
      <c r="H163" s="114">
        <f t="shared" si="27"/>
        <v>325.34246575342468</v>
      </c>
      <c r="I163" s="115">
        <f t="shared" si="28"/>
        <v>130.13698630136989</v>
      </c>
      <c r="J163" s="135" t="s">
        <v>512</v>
      </c>
    </row>
    <row r="164" spans="1:10" s="96" customFormat="1" ht="31.5">
      <c r="A164" s="100">
        <v>4</v>
      </c>
      <c r="B164" s="107" t="s">
        <v>155</v>
      </c>
      <c r="C164" s="111" t="s">
        <v>112</v>
      </c>
      <c r="D164" s="111">
        <v>1</v>
      </c>
      <c r="E164" s="100">
        <v>10</v>
      </c>
      <c r="F164" s="112">
        <f t="shared" si="29"/>
        <v>2920</v>
      </c>
      <c r="G164" s="123">
        <v>19550000</v>
      </c>
      <c r="H164" s="114">
        <f t="shared" si="27"/>
        <v>669.52054794520552</v>
      </c>
      <c r="I164" s="115">
        <f t="shared" si="28"/>
        <v>669.52054794520552</v>
      </c>
      <c r="J164" s="135" t="s">
        <v>526</v>
      </c>
    </row>
    <row r="165" spans="1:10" s="96" customFormat="1">
      <c r="A165" s="100">
        <v>5</v>
      </c>
      <c r="B165" s="107" t="s">
        <v>195</v>
      </c>
      <c r="C165" s="111" t="s">
        <v>112</v>
      </c>
      <c r="D165" s="111">
        <v>0.5</v>
      </c>
      <c r="E165" s="100">
        <v>10</v>
      </c>
      <c r="F165" s="112">
        <f t="shared" si="29"/>
        <v>2920</v>
      </c>
      <c r="G165" s="123">
        <v>482900000</v>
      </c>
      <c r="H165" s="114">
        <f t="shared" si="27"/>
        <v>16537.671232876713</v>
      </c>
      <c r="I165" s="115">
        <f t="shared" si="28"/>
        <v>8268.8356164383567</v>
      </c>
      <c r="J165" s="135" t="s">
        <v>153</v>
      </c>
    </row>
    <row r="166" spans="1:10" s="96" customFormat="1" ht="31.5">
      <c r="A166" s="100">
        <v>6</v>
      </c>
      <c r="B166" s="107" t="s">
        <v>191</v>
      </c>
      <c r="C166" s="111" t="s">
        <v>112</v>
      </c>
      <c r="D166" s="111">
        <v>0.5</v>
      </c>
      <c r="E166" s="100">
        <v>10</v>
      </c>
      <c r="F166" s="112">
        <f t="shared" si="29"/>
        <v>2920</v>
      </c>
      <c r="G166" s="137">
        <v>97800000</v>
      </c>
      <c r="H166" s="114">
        <f t="shared" si="27"/>
        <v>3349.3150684931506</v>
      </c>
      <c r="I166" s="115">
        <f t="shared" si="28"/>
        <v>1674.6575342465753</v>
      </c>
      <c r="J166" s="135" t="s">
        <v>531</v>
      </c>
    </row>
    <row r="167" spans="1:10" s="96" customFormat="1" ht="31.5">
      <c r="A167" s="100">
        <v>7</v>
      </c>
      <c r="B167" s="107" t="s">
        <v>192</v>
      </c>
      <c r="C167" s="111" t="s">
        <v>112</v>
      </c>
      <c r="D167" s="111">
        <v>0.2</v>
      </c>
      <c r="E167" s="100">
        <v>10</v>
      </c>
      <c r="F167" s="112">
        <f t="shared" si="29"/>
        <v>2920</v>
      </c>
      <c r="G167" s="123">
        <v>237700000</v>
      </c>
      <c r="H167" s="114">
        <f t="shared" si="27"/>
        <v>8140.41095890411</v>
      </c>
      <c r="I167" s="115">
        <f t="shared" si="28"/>
        <v>1628.0821917808221</v>
      </c>
      <c r="J167" s="135" t="s">
        <v>532</v>
      </c>
    </row>
    <row r="168" spans="1:10" s="96" customFormat="1" ht="31.5">
      <c r="A168" s="100">
        <v>8</v>
      </c>
      <c r="B168" s="107" t="s">
        <v>193</v>
      </c>
      <c r="C168" s="111" t="s">
        <v>112</v>
      </c>
      <c r="D168" s="111">
        <v>0.3</v>
      </c>
      <c r="E168" s="100">
        <v>10</v>
      </c>
      <c r="F168" s="112">
        <f t="shared" si="29"/>
        <v>2920</v>
      </c>
      <c r="G168" s="123">
        <v>211494000</v>
      </c>
      <c r="H168" s="114">
        <f t="shared" si="27"/>
        <v>7242.9452054794519</v>
      </c>
      <c r="I168" s="115">
        <f t="shared" si="28"/>
        <v>2172.8835616438355</v>
      </c>
      <c r="J168" s="135" t="s">
        <v>533</v>
      </c>
    </row>
    <row r="169" spans="1:10" s="96" customFormat="1" ht="31.5">
      <c r="A169" s="100">
        <v>9</v>
      </c>
      <c r="B169" s="107" t="s">
        <v>484</v>
      </c>
      <c r="C169" s="111" t="s">
        <v>112</v>
      </c>
      <c r="D169" s="111">
        <v>0.2</v>
      </c>
      <c r="E169" s="100">
        <v>10</v>
      </c>
      <c r="F169" s="112">
        <f t="shared" si="29"/>
        <v>2920</v>
      </c>
      <c r="G169" s="123">
        <v>18500000</v>
      </c>
      <c r="H169" s="114">
        <f t="shared" si="27"/>
        <v>633.56164383561645</v>
      </c>
      <c r="I169" s="115">
        <f t="shared" si="28"/>
        <v>126.7123287671233</v>
      </c>
      <c r="J169" s="135" t="s">
        <v>534</v>
      </c>
    </row>
    <row r="170" spans="1:10" s="96" customFormat="1">
      <c r="A170" s="102"/>
      <c r="B170" s="102" t="s">
        <v>9</v>
      </c>
      <c r="C170" s="102"/>
      <c r="D170" s="102"/>
      <c r="E170" s="102"/>
      <c r="F170" s="102"/>
      <c r="G170" s="102"/>
      <c r="H170" s="102"/>
      <c r="I170" s="104">
        <f>SUM(I161:I169)</f>
        <v>414692.06164383568</v>
      </c>
      <c r="J170" s="97"/>
    </row>
    <row r="171" spans="1:10" s="96" customFormat="1">
      <c r="A171" s="102" t="s">
        <v>196</v>
      </c>
      <c r="B171" s="295" t="s">
        <v>487</v>
      </c>
      <c r="C171" s="295"/>
      <c r="D171" s="295"/>
      <c r="E171" s="295"/>
      <c r="F171" s="295"/>
      <c r="G171" s="295"/>
      <c r="H171" s="295"/>
      <c r="I171" s="295"/>
      <c r="J171" s="97"/>
    </row>
    <row r="172" spans="1:10" s="242" customFormat="1">
      <c r="A172" s="234">
        <v>1</v>
      </c>
      <c r="B172" s="235" t="s">
        <v>197</v>
      </c>
      <c r="C172" s="236" t="s">
        <v>112</v>
      </c>
      <c r="D172" s="236">
        <v>2.7</v>
      </c>
      <c r="E172" s="234">
        <v>10</v>
      </c>
      <c r="F172" s="237">
        <f>365*24</f>
        <v>8760</v>
      </c>
      <c r="G172" s="238">
        <v>12963000000</v>
      </c>
      <c r="H172" s="239">
        <f>G172/(E172*F172)</f>
        <v>147979.45205479453</v>
      </c>
      <c r="I172" s="240">
        <f>H172*D172</f>
        <v>399544.52054794523</v>
      </c>
      <c r="J172" s="241" t="s">
        <v>153</v>
      </c>
    </row>
    <row r="173" spans="1:10" s="96" customFormat="1" ht="31.5">
      <c r="A173" s="100">
        <v>2</v>
      </c>
      <c r="B173" s="101" t="s">
        <v>117</v>
      </c>
      <c r="C173" s="111" t="s">
        <v>112</v>
      </c>
      <c r="D173" s="111">
        <v>0.4</v>
      </c>
      <c r="E173" s="100">
        <v>10</v>
      </c>
      <c r="F173" s="112">
        <f t="shared" ref="F173:F179" si="30">365*8</f>
        <v>2920</v>
      </c>
      <c r="G173" s="123">
        <f>G162</f>
        <v>34800000</v>
      </c>
      <c r="H173" s="114">
        <f t="shared" ref="H173:H179" si="31">G173/(E173*F173)</f>
        <v>1191.7808219178082</v>
      </c>
      <c r="I173" s="115">
        <f t="shared" ref="I173:I179" si="32">H173*D173</f>
        <v>476.71232876712332</v>
      </c>
      <c r="J173" s="135" t="s">
        <v>513</v>
      </c>
    </row>
    <row r="174" spans="1:10" s="96" customFormat="1" ht="31.5">
      <c r="A174" s="100">
        <v>3</v>
      </c>
      <c r="B174" s="107" t="s">
        <v>116</v>
      </c>
      <c r="C174" s="111" t="s">
        <v>112</v>
      </c>
      <c r="D174" s="111">
        <v>0.4</v>
      </c>
      <c r="E174" s="100">
        <v>10</v>
      </c>
      <c r="F174" s="112">
        <f t="shared" si="30"/>
        <v>2920</v>
      </c>
      <c r="G174" s="123">
        <f>G163</f>
        <v>9500000</v>
      </c>
      <c r="H174" s="114">
        <f t="shared" si="31"/>
        <v>325.34246575342468</v>
      </c>
      <c r="I174" s="115">
        <f t="shared" si="32"/>
        <v>130.13698630136989</v>
      </c>
      <c r="J174" s="135" t="s">
        <v>512</v>
      </c>
    </row>
    <row r="175" spans="1:10" s="96" customFormat="1" ht="31.5">
      <c r="A175" s="100">
        <v>4</v>
      </c>
      <c r="B175" s="107" t="s">
        <v>155</v>
      </c>
      <c r="C175" s="111" t="s">
        <v>112</v>
      </c>
      <c r="D175" s="111">
        <v>1</v>
      </c>
      <c r="E175" s="100">
        <v>10</v>
      </c>
      <c r="F175" s="112">
        <f t="shared" si="30"/>
        <v>2920</v>
      </c>
      <c r="G175" s="123">
        <f>G164</f>
        <v>19550000</v>
      </c>
      <c r="H175" s="114">
        <f t="shared" si="31"/>
        <v>669.52054794520552</v>
      </c>
      <c r="I175" s="115">
        <f t="shared" si="32"/>
        <v>669.52054794520552</v>
      </c>
      <c r="J175" s="135" t="s">
        <v>526</v>
      </c>
    </row>
    <row r="176" spans="1:10" s="96" customFormat="1" ht="31.5">
      <c r="A176" s="100">
        <v>5</v>
      </c>
      <c r="B176" s="107" t="s">
        <v>191</v>
      </c>
      <c r="C176" s="111" t="s">
        <v>112</v>
      </c>
      <c r="D176" s="111">
        <v>0.5</v>
      </c>
      <c r="E176" s="100">
        <v>10</v>
      </c>
      <c r="F176" s="112">
        <f t="shared" si="30"/>
        <v>2920</v>
      </c>
      <c r="G176" s="123">
        <f>G166</f>
        <v>97800000</v>
      </c>
      <c r="H176" s="114">
        <f t="shared" si="31"/>
        <v>3349.3150684931506</v>
      </c>
      <c r="I176" s="115">
        <f t="shared" si="32"/>
        <v>1674.6575342465753</v>
      </c>
      <c r="J176" s="135" t="s">
        <v>531</v>
      </c>
    </row>
    <row r="177" spans="1:10" s="96" customFormat="1" ht="31.5">
      <c r="A177" s="100">
        <v>6</v>
      </c>
      <c r="B177" s="107" t="s">
        <v>192</v>
      </c>
      <c r="C177" s="111" t="s">
        <v>112</v>
      </c>
      <c r="D177" s="111">
        <v>0.2</v>
      </c>
      <c r="E177" s="100">
        <v>10</v>
      </c>
      <c r="F177" s="112">
        <f t="shared" si="30"/>
        <v>2920</v>
      </c>
      <c r="G177" s="123">
        <f>G167</f>
        <v>237700000</v>
      </c>
      <c r="H177" s="114">
        <f t="shared" si="31"/>
        <v>8140.41095890411</v>
      </c>
      <c r="I177" s="115">
        <f t="shared" si="32"/>
        <v>1628.0821917808221</v>
      </c>
      <c r="J177" s="135" t="s">
        <v>532</v>
      </c>
    </row>
    <row r="178" spans="1:10" s="96" customFormat="1" ht="31.5">
      <c r="A178" s="100">
        <v>7</v>
      </c>
      <c r="B178" s="107" t="s">
        <v>193</v>
      </c>
      <c r="C178" s="111" t="s">
        <v>112</v>
      </c>
      <c r="D178" s="111">
        <v>0.3</v>
      </c>
      <c r="E178" s="100">
        <v>10</v>
      </c>
      <c r="F178" s="112">
        <f t="shared" si="30"/>
        <v>2920</v>
      </c>
      <c r="G178" s="123">
        <v>211494000</v>
      </c>
      <c r="H178" s="114">
        <f t="shared" si="31"/>
        <v>7242.9452054794519</v>
      </c>
      <c r="I178" s="115">
        <f t="shared" si="32"/>
        <v>2172.8835616438355</v>
      </c>
      <c r="J178" s="135" t="s">
        <v>533</v>
      </c>
    </row>
    <row r="179" spans="1:10" s="96" customFormat="1" ht="31.5">
      <c r="A179" s="100">
        <v>8</v>
      </c>
      <c r="B179" s="107" t="s">
        <v>198</v>
      </c>
      <c r="C179" s="111" t="s">
        <v>112</v>
      </c>
      <c r="D179" s="111">
        <v>0.16700000000000001</v>
      </c>
      <c r="E179" s="100">
        <v>10</v>
      </c>
      <c r="F179" s="112">
        <f t="shared" si="30"/>
        <v>2920</v>
      </c>
      <c r="G179" s="123">
        <v>18500000</v>
      </c>
      <c r="H179" s="114">
        <f t="shared" si="31"/>
        <v>633.56164383561645</v>
      </c>
      <c r="I179" s="115">
        <f t="shared" si="32"/>
        <v>105.80479452054796</v>
      </c>
      <c r="J179" s="135" t="s">
        <v>534</v>
      </c>
    </row>
    <row r="180" spans="1:10" s="96" customFormat="1">
      <c r="A180" s="102"/>
      <c r="B180" s="102" t="s">
        <v>9</v>
      </c>
      <c r="C180" s="102"/>
      <c r="D180" s="102"/>
      <c r="E180" s="102"/>
      <c r="F180" s="102"/>
      <c r="G180" s="102"/>
      <c r="H180" s="102"/>
      <c r="I180" s="104">
        <f>SUM(I172:I179)</f>
        <v>406402.31849315076</v>
      </c>
      <c r="J180" s="97"/>
    </row>
    <row r="181" spans="1:10" s="96" customFormat="1">
      <c r="A181" s="102" t="s">
        <v>199</v>
      </c>
      <c r="B181" s="295" t="s">
        <v>488</v>
      </c>
      <c r="C181" s="295"/>
      <c r="D181" s="295"/>
      <c r="E181" s="295"/>
      <c r="F181" s="295"/>
      <c r="G181" s="295"/>
      <c r="H181" s="295"/>
      <c r="I181" s="295"/>
      <c r="J181" s="97"/>
    </row>
    <row r="182" spans="1:10" s="96" customFormat="1" ht="31.5">
      <c r="A182" s="100">
        <v>1</v>
      </c>
      <c r="B182" s="107" t="s">
        <v>149</v>
      </c>
      <c r="C182" s="111" t="s">
        <v>112</v>
      </c>
      <c r="D182" s="111">
        <v>0.2</v>
      </c>
      <c r="E182" s="100">
        <v>10</v>
      </c>
      <c r="F182" s="112">
        <f>365*8</f>
        <v>2920</v>
      </c>
      <c r="G182" s="123">
        <v>46000000</v>
      </c>
      <c r="H182" s="114">
        <f t="shared" ref="H182:H188" si="33">G182/(E182*F182)</f>
        <v>1575.3424657534247</v>
      </c>
      <c r="I182" s="115">
        <f t="shared" ref="I182:I188" si="34">H182*D182</f>
        <v>315.06849315068496</v>
      </c>
      <c r="J182" s="135" t="s">
        <v>521</v>
      </c>
    </row>
    <row r="183" spans="1:10" s="96" customFormat="1" ht="31.5">
      <c r="A183" s="100">
        <v>2</v>
      </c>
      <c r="B183" s="101" t="s">
        <v>117</v>
      </c>
      <c r="C183" s="111" t="s">
        <v>112</v>
      </c>
      <c r="D183" s="111">
        <v>0.2</v>
      </c>
      <c r="E183" s="100">
        <v>10</v>
      </c>
      <c r="F183" s="112">
        <f t="shared" ref="F183:F188" si="35">365*8</f>
        <v>2920</v>
      </c>
      <c r="G183" s="123">
        <v>34800000</v>
      </c>
      <c r="H183" s="114">
        <f t="shared" si="33"/>
        <v>1191.7808219178082</v>
      </c>
      <c r="I183" s="115">
        <f t="shared" si="34"/>
        <v>238.35616438356166</v>
      </c>
      <c r="J183" s="135" t="s">
        <v>513</v>
      </c>
    </row>
    <row r="184" spans="1:10" s="96" customFormat="1" ht="31.5">
      <c r="A184" s="100">
        <v>3</v>
      </c>
      <c r="B184" s="101" t="s">
        <v>116</v>
      </c>
      <c r="C184" s="111" t="s">
        <v>112</v>
      </c>
      <c r="D184" s="111">
        <v>0.2</v>
      </c>
      <c r="E184" s="100">
        <v>10</v>
      </c>
      <c r="F184" s="112">
        <f t="shared" si="35"/>
        <v>2920</v>
      </c>
      <c r="G184" s="123">
        <v>9500000</v>
      </c>
      <c r="H184" s="114">
        <f t="shared" si="33"/>
        <v>325.34246575342468</v>
      </c>
      <c r="I184" s="115">
        <f t="shared" si="34"/>
        <v>65.068493150684944</v>
      </c>
      <c r="J184" s="135" t="s">
        <v>512</v>
      </c>
    </row>
    <row r="185" spans="1:10" s="96" customFormat="1">
      <c r="A185" s="100">
        <v>4</v>
      </c>
      <c r="B185" s="101" t="s">
        <v>200</v>
      </c>
      <c r="C185" s="111" t="s">
        <v>112</v>
      </c>
      <c r="D185" s="111">
        <v>0.25</v>
      </c>
      <c r="E185" s="100">
        <v>10</v>
      </c>
      <c r="F185" s="112">
        <f t="shared" si="35"/>
        <v>2920</v>
      </c>
      <c r="G185" s="138">
        <v>152550000</v>
      </c>
      <c r="H185" s="114">
        <f t="shared" si="33"/>
        <v>5224.3150684931506</v>
      </c>
      <c r="I185" s="115">
        <f t="shared" si="34"/>
        <v>1306.0787671232877</v>
      </c>
      <c r="J185" s="135" t="s">
        <v>153</v>
      </c>
    </row>
    <row r="186" spans="1:10" s="96" customFormat="1" ht="31.5">
      <c r="A186" s="100">
        <v>5</v>
      </c>
      <c r="B186" s="101" t="s">
        <v>155</v>
      </c>
      <c r="C186" s="111" t="s">
        <v>112</v>
      </c>
      <c r="D186" s="111">
        <v>1</v>
      </c>
      <c r="E186" s="100">
        <v>10</v>
      </c>
      <c r="F186" s="112">
        <f t="shared" si="35"/>
        <v>2920</v>
      </c>
      <c r="G186" s="123">
        <f>G175</f>
        <v>19550000</v>
      </c>
      <c r="H186" s="114">
        <f t="shared" si="33"/>
        <v>669.52054794520552</v>
      </c>
      <c r="I186" s="115">
        <f t="shared" si="34"/>
        <v>669.52054794520552</v>
      </c>
      <c r="J186" s="135" t="s">
        <v>526</v>
      </c>
    </row>
    <row r="187" spans="1:10" s="96" customFormat="1" ht="31.5">
      <c r="A187" s="100">
        <v>6</v>
      </c>
      <c r="B187" s="107" t="s">
        <v>191</v>
      </c>
      <c r="C187" s="111" t="s">
        <v>112</v>
      </c>
      <c r="D187" s="111">
        <v>0.5</v>
      </c>
      <c r="E187" s="100">
        <v>10</v>
      </c>
      <c r="F187" s="112">
        <f t="shared" si="35"/>
        <v>2920</v>
      </c>
      <c r="G187" s="123">
        <f>G176</f>
        <v>97800000</v>
      </c>
      <c r="H187" s="114">
        <f t="shared" si="33"/>
        <v>3349.3150684931506</v>
      </c>
      <c r="I187" s="115">
        <f t="shared" si="34"/>
        <v>1674.6575342465753</v>
      </c>
      <c r="J187" s="135" t="s">
        <v>531</v>
      </c>
    </row>
    <row r="188" spans="1:10" s="96" customFormat="1" ht="39" customHeight="1">
      <c r="A188" s="100">
        <v>7</v>
      </c>
      <c r="B188" s="101" t="s">
        <v>201</v>
      </c>
      <c r="C188" s="111" t="s">
        <v>112</v>
      </c>
      <c r="D188" s="111">
        <v>0.2</v>
      </c>
      <c r="E188" s="100">
        <v>10</v>
      </c>
      <c r="F188" s="112">
        <f t="shared" si="35"/>
        <v>2920</v>
      </c>
      <c r="G188" s="116">
        <v>496800000</v>
      </c>
      <c r="H188" s="114">
        <f t="shared" si="33"/>
        <v>17013.698630136987</v>
      </c>
      <c r="I188" s="115">
        <f t="shared" si="34"/>
        <v>3402.7397260273974</v>
      </c>
      <c r="J188" s="135" t="s">
        <v>153</v>
      </c>
    </row>
    <row r="189" spans="1:10" s="96" customFormat="1">
      <c r="A189" s="107"/>
      <c r="B189" s="118" t="s">
        <v>9</v>
      </c>
      <c r="C189" s="108"/>
      <c r="D189" s="108"/>
      <c r="E189" s="110"/>
      <c r="F189" s="110"/>
      <c r="G189" s="109"/>
      <c r="H189" s="109"/>
      <c r="I189" s="104">
        <f>SUM(I182:I188)</f>
        <v>7671.4897260273974</v>
      </c>
      <c r="J189" s="97"/>
    </row>
    <row r="190" spans="1:10">
      <c r="A190" s="5"/>
    </row>
    <row r="191" spans="1:10">
      <c r="A191" s="6"/>
    </row>
    <row r="192" spans="1:10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</sheetData>
  <autoFilter ref="A14:XEZ189"/>
  <mergeCells count="93">
    <mergeCell ref="J141:J146"/>
    <mergeCell ref="G70:G71"/>
    <mergeCell ref="J24:J27"/>
    <mergeCell ref="J36:J41"/>
    <mergeCell ref="J9:J11"/>
    <mergeCell ref="B131:I131"/>
    <mergeCell ref="J129:J130"/>
    <mergeCell ref="J49:J54"/>
    <mergeCell ref="J62:J67"/>
    <mergeCell ref="J70:J71"/>
    <mergeCell ref="J57:J58"/>
    <mergeCell ref="J83:J89"/>
    <mergeCell ref="J102:J106"/>
    <mergeCell ref="J119:J124"/>
    <mergeCell ref="H129:H130"/>
    <mergeCell ref="I14:I16"/>
    <mergeCell ref="J6:J7"/>
    <mergeCell ref="J14:J16"/>
    <mergeCell ref="J31:J32"/>
    <mergeCell ref="J44:J45"/>
    <mergeCell ref="H70:H71"/>
    <mergeCell ref="I6:I8"/>
    <mergeCell ref="I31:I32"/>
    <mergeCell ref="I44:I45"/>
    <mergeCell ref="H6:H8"/>
    <mergeCell ref="H14:H16"/>
    <mergeCell ref="D31:D32"/>
    <mergeCell ref="D44:D45"/>
    <mergeCell ref="D57:D58"/>
    <mergeCell ref="D70:D71"/>
    <mergeCell ref="D129:D130"/>
    <mergeCell ref="B72:I72"/>
    <mergeCell ref="B93:I93"/>
    <mergeCell ref="B109:I109"/>
    <mergeCell ref="E31:E32"/>
    <mergeCell ref="E44:E45"/>
    <mergeCell ref="E57:E58"/>
    <mergeCell ref="I57:I58"/>
    <mergeCell ref="I70:I71"/>
    <mergeCell ref="I129:I130"/>
    <mergeCell ref="H31:H32"/>
    <mergeCell ref="F31:F32"/>
    <mergeCell ref="B160:I160"/>
    <mergeCell ref="B171:I171"/>
    <mergeCell ref="B181:I181"/>
    <mergeCell ref="A6:A8"/>
    <mergeCell ref="A14:A16"/>
    <mergeCell ref="A31:A32"/>
    <mergeCell ref="A44:A45"/>
    <mergeCell ref="A57:A58"/>
    <mergeCell ref="A70:A71"/>
    <mergeCell ref="A129:A130"/>
    <mergeCell ref="B6:B8"/>
    <mergeCell ref="B14:B16"/>
    <mergeCell ref="B31:B32"/>
    <mergeCell ref="B44:B45"/>
    <mergeCell ref="B57:B58"/>
    <mergeCell ref="B70:B71"/>
    <mergeCell ref="B150:I150"/>
    <mergeCell ref="B129:B130"/>
    <mergeCell ref="G129:G130"/>
    <mergeCell ref="C70:C71"/>
    <mergeCell ref="E129:E130"/>
    <mergeCell ref="E70:E71"/>
    <mergeCell ref="F70:F71"/>
    <mergeCell ref="F129:F130"/>
    <mergeCell ref="C129:C130"/>
    <mergeCell ref="F44:F45"/>
    <mergeCell ref="F57:F58"/>
    <mergeCell ref="H44:H45"/>
    <mergeCell ref="H57:H58"/>
    <mergeCell ref="G31:G32"/>
    <mergeCell ref="G44:G45"/>
    <mergeCell ref="G57:G58"/>
    <mergeCell ref="A69:C69"/>
    <mergeCell ref="C6:C8"/>
    <mergeCell ref="C14:C16"/>
    <mergeCell ref="C31:C32"/>
    <mergeCell ref="C44:C45"/>
    <mergeCell ref="C57:C58"/>
    <mergeCell ref="A2:I2"/>
    <mergeCell ref="A3:I3"/>
    <mergeCell ref="A1:I1"/>
    <mergeCell ref="A5:I5"/>
    <mergeCell ref="A30:I30"/>
    <mergeCell ref="E6:E8"/>
    <mergeCell ref="E14:E16"/>
    <mergeCell ref="G6:G8"/>
    <mergeCell ref="F6:F8"/>
    <mergeCell ref="F14:F16"/>
    <mergeCell ref="G14:G16"/>
    <mergeCell ref="D6:D8"/>
    <mergeCell ref="D14:D16"/>
  </mergeCells>
  <pageMargins left="0.74803149606299213" right="0.23622047244094491" top="0.31496062992125984" bottom="0.2362204724409449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55"/>
  <sheetViews>
    <sheetView tabSelected="1" topLeftCell="A88" zoomScale="70" zoomScaleNormal="70" zoomScaleSheetLayoutView="85" workbookViewId="0">
      <selection activeCell="J12" sqref="J12"/>
    </sheetView>
  </sheetViews>
  <sheetFormatPr defaultColWidth="8.88671875" defaultRowHeight="16.5"/>
  <cols>
    <col min="1" max="1" width="8.88671875" style="199"/>
    <col min="2" max="2" width="22.109375" style="199" customWidth="1"/>
    <col min="3" max="3" width="8.88671875" style="199"/>
    <col min="4" max="4" width="16.77734375" style="199" customWidth="1"/>
    <col min="5" max="5" width="10.6640625" style="200" customWidth="1"/>
    <col min="6" max="6" width="11" style="200" customWidth="1"/>
    <col min="7" max="7" width="24.88671875" style="199" customWidth="1"/>
    <col min="8" max="8" width="12.33203125" style="199" customWidth="1"/>
    <col min="9" max="12" width="11" style="199" customWidth="1"/>
    <col min="13" max="16384" width="8.88671875" style="199"/>
  </cols>
  <sheetData>
    <row r="1" spans="1:7" ht="24" customHeight="1">
      <c r="A1" s="309" t="s">
        <v>501</v>
      </c>
      <c r="B1" s="309"/>
      <c r="C1" s="309"/>
      <c r="D1" s="309"/>
      <c r="E1" s="309"/>
      <c r="F1" s="309"/>
    </row>
    <row r="2" spans="1:7" ht="29.25" customHeight="1">
      <c r="A2" s="312"/>
      <c r="B2" s="313"/>
      <c r="C2" s="313"/>
      <c r="D2" s="313"/>
      <c r="E2" s="313"/>
      <c r="F2" s="313"/>
    </row>
    <row r="3" spans="1:7" ht="18" customHeight="1">
      <c r="A3" s="314" t="s">
        <v>497</v>
      </c>
      <c r="B3" s="314"/>
      <c r="C3" s="314"/>
      <c r="D3" s="314"/>
      <c r="E3" s="314"/>
      <c r="F3" s="314"/>
    </row>
    <row r="4" spans="1:7" ht="24" customHeight="1">
      <c r="A4" s="310" t="s">
        <v>202</v>
      </c>
      <c r="B4" s="310"/>
      <c r="C4" s="310"/>
      <c r="D4" s="310"/>
    </row>
    <row r="5" spans="1:7">
      <c r="A5" s="310" t="s">
        <v>203</v>
      </c>
      <c r="B5" s="310"/>
      <c r="C5" s="310"/>
      <c r="D5" s="310"/>
    </row>
    <row r="6" spans="1:7" ht="6" customHeight="1">
      <c r="A6" s="201"/>
      <c r="E6" s="202"/>
    </row>
    <row r="7" spans="1:7" s="155" customFormat="1" ht="33">
      <c r="A7" s="165" t="s">
        <v>204</v>
      </c>
      <c r="B7" s="165" t="s">
        <v>205</v>
      </c>
      <c r="C7" s="165" t="s">
        <v>206</v>
      </c>
      <c r="D7" s="165" t="s">
        <v>207</v>
      </c>
      <c r="E7" s="170" t="s">
        <v>503</v>
      </c>
      <c r="F7" s="170" t="s">
        <v>502</v>
      </c>
    </row>
    <row r="8" spans="1:7" s="176" customFormat="1">
      <c r="A8" s="172" t="s">
        <v>208</v>
      </c>
      <c r="B8" s="173" t="s">
        <v>209</v>
      </c>
      <c r="C8" s="172" t="s">
        <v>210</v>
      </c>
      <c r="D8" s="173" t="s">
        <v>211</v>
      </c>
      <c r="E8" s="172" t="s">
        <v>212</v>
      </c>
      <c r="F8" s="173" t="s">
        <v>213</v>
      </c>
    </row>
    <row r="9" spans="1:7" s="155" customFormat="1">
      <c r="A9" s="198" t="s">
        <v>44</v>
      </c>
      <c r="B9" s="164" t="s">
        <v>214</v>
      </c>
      <c r="C9" s="165"/>
      <c r="D9" s="165"/>
      <c r="E9" s="170"/>
      <c r="F9" s="170"/>
    </row>
    <row r="10" spans="1:7" s="155" customFormat="1">
      <c r="A10" s="151">
        <v>1</v>
      </c>
      <c r="B10" s="152" t="s">
        <v>215</v>
      </c>
      <c r="C10" s="153" t="s">
        <v>216</v>
      </c>
      <c r="D10" s="153">
        <v>4.5499999999999999E-2</v>
      </c>
      <c r="E10" s="154">
        <v>144000</v>
      </c>
      <c r="F10" s="154">
        <f>E10*D10</f>
        <v>6552</v>
      </c>
      <c r="G10" s="303" t="s">
        <v>489</v>
      </c>
    </row>
    <row r="11" spans="1:7" s="155" customFormat="1">
      <c r="A11" s="151">
        <v>2</v>
      </c>
      <c r="B11" s="152" t="s">
        <v>217</v>
      </c>
      <c r="C11" s="153" t="s">
        <v>216</v>
      </c>
      <c r="D11" s="153">
        <v>3</v>
      </c>
      <c r="E11" s="154">
        <f>1*1000</f>
        <v>1000</v>
      </c>
      <c r="F11" s="154">
        <f t="shared" ref="F11:F19" si="0">E11*D11</f>
        <v>3000</v>
      </c>
      <c r="G11" s="303"/>
    </row>
    <row r="12" spans="1:7" s="155" customFormat="1">
      <c r="A12" s="151">
        <v>3</v>
      </c>
      <c r="B12" s="152" t="s">
        <v>218</v>
      </c>
      <c r="C12" s="153" t="s">
        <v>135</v>
      </c>
      <c r="D12" s="153">
        <v>4.5499999999999999E-2</v>
      </c>
      <c r="E12" s="154">
        <v>25200</v>
      </c>
      <c r="F12" s="154">
        <f t="shared" si="0"/>
        <v>1146.5999999999999</v>
      </c>
      <c r="G12" s="303"/>
    </row>
    <row r="13" spans="1:7" s="155" customFormat="1">
      <c r="A13" s="151">
        <v>4</v>
      </c>
      <c r="B13" s="152" t="s">
        <v>219</v>
      </c>
      <c r="C13" s="153" t="s">
        <v>143</v>
      </c>
      <c r="D13" s="153">
        <v>4.5499999999999999E-2</v>
      </c>
      <c r="E13" s="154">
        <v>250000</v>
      </c>
      <c r="F13" s="154">
        <f t="shared" si="0"/>
        <v>11375</v>
      </c>
      <c r="G13" s="303"/>
    </row>
    <row r="14" spans="1:7" s="155" customFormat="1">
      <c r="A14" s="151">
        <v>5</v>
      </c>
      <c r="B14" s="152" t="s">
        <v>220</v>
      </c>
      <c r="C14" s="153" t="s">
        <v>221</v>
      </c>
      <c r="D14" s="153">
        <v>0.1</v>
      </c>
      <c r="E14" s="154">
        <v>60000</v>
      </c>
      <c r="F14" s="154">
        <f t="shared" si="0"/>
        <v>6000</v>
      </c>
      <c r="G14" s="303"/>
    </row>
    <row r="15" spans="1:7" s="155" customFormat="1">
      <c r="A15" s="151">
        <v>6</v>
      </c>
      <c r="B15" s="152" t="s">
        <v>222</v>
      </c>
      <c r="C15" s="153" t="s">
        <v>135</v>
      </c>
      <c r="D15" s="153">
        <v>4.5499999999999999E-2</v>
      </c>
      <c r="E15" s="154">
        <v>150000</v>
      </c>
      <c r="F15" s="154">
        <f t="shared" si="0"/>
        <v>6825</v>
      </c>
      <c r="G15" s="303"/>
    </row>
    <row r="16" spans="1:7" s="155" customFormat="1">
      <c r="A16" s="151">
        <v>7</v>
      </c>
      <c r="B16" s="152" t="s">
        <v>223</v>
      </c>
      <c r="C16" s="153" t="s">
        <v>135</v>
      </c>
      <c r="D16" s="153">
        <v>4.5499999999999999E-2</v>
      </c>
      <c r="E16" s="154">
        <v>120000</v>
      </c>
      <c r="F16" s="154">
        <f t="shared" si="0"/>
        <v>5460</v>
      </c>
      <c r="G16" s="303"/>
    </row>
    <row r="17" spans="1:7" s="155" customFormat="1">
      <c r="A17" s="151">
        <v>8</v>
      </c>
      <c r="B17" s="152" t="s">
        <v>224</v>
      </c>
      <c r="C17" s="153" t="s">
        <v>135</v>
      </c>
      <c r="D17" s="153">
        <v>2.2700000000000001E-2</v>
      </c>
      <c r="E17" s="154">
        <v>55000</v>
      </c>
      <c r="F17" s="154">
        <f t="shared" si="0"/>
        <v>1248.5</v>
      </c>
      <c r="G17" s="168"/>
    </row>
    <row r="18" spans="1:7" s="155" customFormat="1">
      <c r="A18" s="151">
        <v>9</v>
      </c>
      <c r="B18" s="152" t="s">
        <v>225</v>
      </c>
      <c r="C18" s="153" t="s">
        <v>135</v>
      </c>
      <c r="D18" s="153">
        <v>0.1</v>
      </c>
      <c r="E18" s="154">
        <v>5000</v>
      </c>
      <c r="F18" s="154">
        <f t="shared" si="0"/>
        <v>500</v>
      </c>
      <c r="G18" s="168"/>
    </row>
    <row r="19" spans="1:7" s="155" customFormat="1">
      <c r="A19" s="151">
        <v>10</v>
      </c>
      <c r="B19" s="152" t="s">
        <v>226</v>
      </c>
      <c r="C19" s="153" t="s">
        <v>135</v>
      </c>
      <c r="D19" s="153">
        <v>1</v>
      </c>
      <c r="E19" s="154">
        <v>5000</v>
      </c>
      <c r="F19" s="154">
        <f t="shared" si="0"/>
        <v>5000</v>
      </c>
      <c r="G19" s="168"/>
    </row>
    <row r="20" spans="1:7" s="155" customFormat="1">
      <c r="A20" s="311" t="s">
        <v>9</v>
      </c>
      <c r="B20" s="311"/>
      <c r="C20" s="165"/>
      <c r="D20" s="165"/>
      <c r="E20" s="166"/>
      <c r="F20" s="166">
        <f>SUM(F10:F19)</f>
        <v>47107.1</v>
      </c>
      <c r="G20" s="168"/>
    </row>
    <row r="21" spans="1:7" s="155" customFormat="1">
      <c r="A21" s="198" t="s">
        <v>83</v>
      </c>
      <c r="B21" s="164" t="s">
        <v>227</v>
      </c>
      <c r="C21" s="165"/>
      <c r="D21" s="165"/>
      <c r="E21" s="170"/>
      <c r="F21" s="170"/>
      <c r="G21" s="168"/>
    </row>
    <row r="22" spans="1:7" s="155" customFormat="1">
      <c r="A22" s="151">
        <v>1</v>
      </c>
      <c r="B22" s="152" t="s">
        <v>228</v>
      </c>
      <c r="C22" s="153" t="s">
        <v>229</v>
      </c>
      <c r="D22" s="153">
        <v>2.4</v>
      </c>
      <c r="E22" s="203">
        <v>22990</v>
      </c>
      <c r="F22" s="203">
        <f>D22*E22</f>
        <v>55176</v>
      </c>
      <c r="G22" s="168"/>
    </row>
    <row r="23" spans="1:7" s="155" customFormat="1">
      <c r="A23" s="151">
        <v>2</v>
      </c>
      <c r="B23" s="152" t="s">
        <v>230</v>
      </c>
      <c r="C23" s="153" t="s">
        <v>231</v>
      </c>
      <c r="D23" s="153">
        <v>1.5</v>
      </c>
      <c r="E23" s="158">
        <v>2134</v>
      </c>
      <c r="F23" s="203">
        <f>D23*E23</f>
        <v>3201</v>
      </c>
      <c r="G23" s="168"/>
    </row>
    <row r="24" spans="1:7" s="155" customFormat="1">
      <c r="A24" s="151">
        <v>3</v>
      </c>
      <c r="B24" s="152" t="s">
        <v>232</v>
      </c>
      <c r="C24" s="153" t="s">
        <v>229</v>
      </c>
      <c r="D24" s="151">
        <v>10</v>
      </c>
      <c r="E24" s="169">
        <v>12.3</v>
      </c>
      <c r="F24" s="203">
        <f>D24*E24</f>
        <v>123</v>
      </c>
      <c r="G24" s="168"/>
    </row>
    <row r="25" spans="1:7" s="155" customFormat="1">
      <c r="A25" s="311" t="s">
        <v>9</v>
      </c>
      <c r="B25" s="311"/>
      <c r="C25" s="165"/>
      <c r="D25" s="165"/>
      <c r="E25" s="170"/>
      <c r="F25" s="166">
        <f>SUM(F22:F24)</f>
        <v>58500</v>
      </c>
      <c r="G25" s="168"/>
    </row>
    <row r="26" spans="1:7" s="155" customFormat="1" ht="27.75" customHeight="1">
      <c r="A26" s="315" t="s">
        <v>233</v>
      </c>
      <c r="B26" s="315"/>
      <c r="C26" s="315"/>
      <c r="D26" s="315"/>
      <c r="E26" s="204"/>
      <c r="F26" s="204"/>
      <c r="G26" s="168"/>
    </row>
    <row r="27" spans="1:7" s="155" customFormat="1" ht="33">
      <c r="A27" s="165" t="s">
        <v>1</v>
      </c>
      <c r="B27" s="165" t="s">
        <v>205</v>
      </c>
      <c r="C27" s="165" t="s">
        <v>206</v>
      </c>
      <c r="D27" s="165" t="s">
        <v>188</v>
      </c>
      <c r="E27" s="170" t="s">
        <v>452</v>
      </c>
      <c r="F27" s="171" t="s">
        <v>453</v>
      </c>
      <c r="G27" s="168"/>
    </row>
    <row r="28" spans="1:7" s="176" customFormat="1">
      <c r="A28" s="172" t="s">
        <v>208</v>
      </c>
      <c r="B28" s="173" t="s">
        <v>209</v>
      </c>
      <c r="C28" s="172" t="s">
        <v>210</v>
      </c>
      <c r="D28" s="173" t="s">
        <v>211</v>
      </c>
      <c r="E28" s="172" t="s">
        <v>212</v>
      </c>
      <c r="F28" s="174" t="s">
        <v>213</v>
      </c>
      <c r="G28" s="175"/>
    </row>
    <row r="29" spans="1:7" s="155" customFormat="1">
      <c r="A29" s="198" t="s">
        <v>44</v>
      </c>
      <c r="B29" s="164" t="s">
        <v>214</v>
      </c>
      <c r="C29" s="165"/>
      <c r="D29" s="165"/>
      <c r="E29" s="170"/>
      <c r="F29" s="171"/>
      <c r="G29" s="168"/>
    </row>
    <row r="30" spans="1:7" s="155" customFormat="1">
      <c r="A30" s="151">
        <v>1</v>
      </c>
      <c r="B30" s="152" t="s">
        <v>215</v>
      </c>
      <c r="C30" s="153" t="s">
        <v>216</v>
      </c>
      <c r="D30" s="153">
        <v>2.2700000000000001E-2</v>
      </c>
      <c r="E30" s="154">
        <v>144000</v>
      </c>
      <c r="F30" s="156">
        <f>E30*D30</f>
        <v>3268.8</v>
      </c>
      <c r="G30" s="306" t="s">
        <v>489</v>
      </c>
    </row>
    <row r="31" spans="1:7" s="155" customFormat="1">
      <c r="A31" s="151">
        <v>2</v>
      </c>
      <c r="B31" s="152" t="s">
        <v>217</v>
      </c>
      <c r="C31" s="153" t="s">
        <v>216</v>
      </c>
      <c r="D31" s="153">
        <v>3</v>
      </c>
      <c r="E31" s="154">
        <f>1*1000</f>
        <v>1000</v>
      </c>
      <c r="F31" s="156">
        <f>E31*D31</f>
        <v>3000</v>
      </c>
      <c r="G31" s="307"/>
    </row>
    <row r="32" spans="1:7" s="155" customFormat="1">
      <c r="A32" s="151">
        <v>3</v>
      </c>
      <c r="B32" s="152" t="s">
        <v>218</v>
      </c>
      <c r="C32" s="153" t="s">
        <v>135</v>
      </c>
      <c r="D32" s="153">
        <v>2.2700000000000001E-2</v>
      </c>
      <c r="E32" s="154">
        <v>25200</v>
      </c>
      <c r="F32" s="156">
        <f t="shared" ref="F32:F39" si="1">E32*D32</f>
        <v>572.04000000000008</v>
      </c>
      <c r="G32" s="307"/>
    </row>
    <row r="33" spans="1:7" s="155" customFormat="1">
      <c r="A33" s="151">
        <v>4</v>
      </c>
      <c r="B33" s="152" t="s">
        <v>219</v>
      </c>
      <c r="C33" s="153" t="s">
        <v>143</v>
      </c>
      <c r="D33" s="153">
        <v>2.2700000000000001E-2</v>
      </c>
      <c r="E33" s="154">
        <v>250000</v>
      </c>
      <c r="F33" s="156">
        <f t="shared" si="1"/>
        <v>5675</v>
      </c>
      <c r="G33" s="307"/>
    </row>
    <row r="34" spans="1:7" s="155" customFormat="1">
      <c r="A34" s="151">
        <v>5</v>
      </c>
      <c r="B34" s="152" t="s">
        <v>220</v>
      </c>
      <c r="C34" s="153" t="s">
        <v>221</v>
      </c>
      <c r="D34" s="153">
        <v>0.1</v>
      </c>
      <c r="E34" s="154">
        <v>60000</v>
      </c>
      <c r="F34" s="156">
        <f t="shared" si="1"/>
        <v>6000</v>
      </c>
      <c r="G34" s="307"/>
    </row>
    <row r="35" spans="1:7" s="155" customFormat="1">
      <c r="A35" s="151">
        <v>6</v>
      </c>
      <c r="B35" s="152" t="s">
        <v>222</v>
      </c>
      <c r="C35" s="153" t="s">
        <v>135</v>
      </c>
      <c r="D35" s="153">
        <v>2.2700000000000001E-2</v>
      </c>
      <c r="E35" s="154">
        <v>150000</v>
      </c>
      <c r="F35" s="156">
        <f t="shared" si="1"/>
        <v>3405</v>
      </c>
      <c r="G35" s="307"/>
    </row>
    <row r="36" spans="1:7" s="155" customFormat="1">
      <c r="A36" s="151">
        <v>7</v>
      </c>
      <c r="B36" s="152" t="s">
        <v>223</v>
      </c>
      <c r="C36" s="153" t="s">
        <v>135</v>
      </c>
      <c r="D36" s="153">
        <v>2.2700000000000001E-2</v>
      </c>
      <c r="E36" s="154">
        <v>120000</v>
      </c>
      <c r="F36" s="156">
        <f t="shared" si="1"/>
        <v>2724</v>
      </c>
      <c r="G36" s="308"/>
    </row>
    <row r="37" spans="1:7" s="155" customFormat="1" ht="20.25" customHeight="1">
      <c r="A37" s="151">
        <v>8</v>
      </c>
      <c r="B37" s="152" t="s">
        <v>224</v>
      </c>
      <c r="C37" s="153" t="s">
        <v>135</v>
      </c>
      <c r="D37" s="153">
        <v>4.5499999999999999E-2</v>
      </c>
      <c r="E37" s="154">
        <v>55000</v>
      </c>
      <c r="F37" s="156">
        <f t="shared" si="1"/>
        <v>2502.5</v>
      </c>
      <c r="G37" s="306" t="s">
        <v>494</v>
      </c>
    </row>
    <row r="38" spans="1:7" s="155" customFormat="1" ht="20.25" customHeight="1">
      <c r="A38" s="151">
        <v>9</v>
      </c>
      <c r="B38" s="152" t="s">
        <v>225</v>
      </c>
      <c r="C38" s="153" t="s">
        <v>135</v>
      </c>
      <c r="D38" s="153">
        <v>0.1</v>
      </c>
      <c r="E38" s="154">
        <v>5000</v>
      </c>
      <c r="F38" s="156">
        <f t="shared" si="1"/>
        <v>500</v>
      </c>
      <c r="G38" s="307"/>
    </row>
    <row r="39" spans="1:7" s="155" customFormat="1" ht="20.25" customHeight="1">
      <c r="A39" s="151">
        <v>10</v>
      </c>
      <c r="B39" s="152" t="s">
        <v>226</v>
      </c>
      <c r="C39" s="153" t="s">
        <v>135</v>
      </c>
      <c r="D39" s="153">
        <v>1</v>
      </c>
      <c r="E39" s="154">
        <v>5000</v>
      </c>
      <c r="F39" s="156">
        <f t="shared" si="1"/>
        <v>5000</v>
      </c>
      <c r="G39" s="308"/>
    </row>
    <row r="40" spans="1:7" s="155" customFormat="1">
      <c r="A40" s="198"/>
      <c r="B40" s="164" t="s">
        <v>9</v>
      </c>
      <c r="C40" s="165"/>
      <c r="D40" s="165"/>
      <c r="E40" s="166"/>
      <c r="F40" s="167">
        <f>SUM(F30:F39)</f>
        <v>32647.34</v>
      </c>
      <c r="G40" s="168"/>
    </row>
    <row r="41" spans="1:7" s="155" customFormat="1">
      <c r="A41" s="198" t="s">
        <v>83</v>
      </c>
      <c r="B41" s="164" t="s">
        <v>227</v>
      </c>
      <c r="C41" s="165"/>
      <c r="D41" s="165"/>
      <c r="E41" s="166"/>
      <c r="F41" s="167"/>
      <c r="G41" s="168"/>
    </row>
    <row r="42" spans="1:7" s="155" customFormat="1">
      <c r="A42" s="151">
        <v>1</v>
      </c>
      <c r="B42" s="152" t="s">
        <v>228</v>
      </c>
      <c r="C42" s="153" t="s">
        <v>229</v>
      </c>
      <c r="D42" s="153">
        <v>7.2</v>
      </c>
      <c r="E42" s="203">
        <v>22990</v>
      </c>
      <c r="F42" s="156">
        <f>E42*D42</f>
        <v>165528</v>
      </c>
      <c r="G42" s="168"/>
    </row>
    <row r="43" spans="1:7" s="155" customFormat="1">
      <c r="A43" s="151">
        <v>2</v>
      </c>
      <c r="B43" s="152" t="s">
        <v>230</v>
      </c>
      <c r="C43" s="153" t="s">
        <v>231</v>
      </c>
      <c r="D43" s="153">
        <v>1.5</v>
      </c>
      <c r="E43" s="158">
        <v>2134</v>
      </c>
      <c r="F43" s="156">
        <f>E43*D43</f>
        <v>3201</v>
      </c>
      <c r="G43" s="168"/>
    </row>
    <row r="44" spans="1:7" s="155" customFormat="1">
      <c r="A44" s="151">
        <v>3</v>
      </c>
      <c r="B44" s="152" t="s">
        <v>232</v>
      </c>
      <c r="C44" s="153" t="s">
        <v>229</v>
      </c>
      <c r="D44" s="153">
        <v>10</v>
      </c>
      <c r="E44" s="169">
        <v>12.3</v>
      </c>
      <c r="F44" s="156">
        <f>E44*D44</f>
        <v>123</v>
      </c>
      <c r="G44" s="168"/>
    </row>
    <row r="45" spans="1:7" s="155" customFormat="1">
      <c r="A45" s="311" t="s">
        <v>9</v>
      </c>
      <c r="B45" s="311"/>
      <c r="C45" s="165"/>
      <c r="D45" s="165"/>
      <c r="E45" s="166"/>
      <c r="F45" s="167">
        <f>SUM(F42:F44)</f>
        <v>168852</v>
      </c>
      <c r="G45" s="168"/>
    </row>
    <row r="46" spans="1:7" s="155" customFormat="1" ht="21.75" customHeight="1">
      <c r="A46" s="315" t="s">
        <v>234</v>
      </c>
      <c r="B46" s="315"/>
      <c r="C46" s="315"/>
      <c r="D46" s="315"/>
      <c r="E46" s="315"/>
      <c r="F46" s="315"/>
      <c r="G46" s="168"/>
    </row>
    <row r="47" spans="1:7" s="155" customFormat="1" ht="33">
      <c r="A47" s="165" t="s">
        <v>1</v>
      </c>
      <c r="B47" s="165" t="s">
        <v>205</v>
      </c>
      <c r="C47" s="165" t="s">
        <v>206</v>
      </c>
      <c r="D47" s="165" t="s">
        <v>188</v>
      </c>
      <c r="E47" s="170" t="s">
        <v>452</v>
      </c>
      <c r="F47" s="171" t="s">
        <v>453</v>
      </c>
      <c r="G47" s="168"/>
    </row>
    <row r="48" spans="1:7" s="176" customFormat="1">
      <c r="A48" s="172" t="s">
        <v>208</v>
      </c>
      <c r="B48" s="173" t="s">
        <v>209</v>
      </c>
      <c r="C48" s="172" t="s">
        <v>210</v>
      </c>
      <c r="D48" s="173" t="s">
        <v>211</v>
      </c>
      <c r="E48" s="172" t="s">
        <v>212</v>
      </c>
      <c r="F48" s="174" t="s">
        <v>213</v>
      </c>
      <c r="G48" s="175"/>
    </row>
    <row r="49" spans="1:7" s="155" customFormat="1">
      <c r="A49" s="198" t="s">
        <v>44</v>
      </c>
      <c r="B49" s="164" t="s">
        <v>214</v>
      </c>
      <c r="C49" s="165"/>
      <c r="D49" s="165"/>
      <c r="E49" s="170"/>
      <c r="F49" s="171"/>
      <c r="G49" s="168"/>
    </row>
    <row r="50" spans="1:7" s="155" customFormat="1">
      <c r="A50" s="151">
        <v>1</v>
      </c>
      <c r="B50" s="152" t="s">
        <v>215</v>
      </c>
      <c r="C50" s="153" t="s">
        <v>216</v>
      </c>
      <c r="D50" s="153">
        <v>2.2700000000000001E-2</v>
      </c>
      <c r="E50" s="154">
        <v>144000</v>
      </c>
      <c r="F50" s="156">
        <f>E50*D50</f>
        <v>3268.8</v>
      </c>
      <c r="G50" s="306" t="s">
        <v>489</v>
      </c>
    </row>
    <row r="51" spans="1:7" s="155" customFormat="1">
      <c r="A51" s="151">
        <v>2</v>
      </c>
      <c r="B51" s="152" t="s">
        <v>217</v>
      </c>
      <c r="C51" s="153" t="s">
        <v>216</v>
      </c>
      <c r="D51" s="153">
        <v>4</v>
      </c>
      <c r="E51" s="154">
        <f>1*1000</f>
        <v>1000</v>
      </c>
      <c r="F51" s="156">
        <f t="shared" ref="F51:F59" si="2">E51*D51</f>
        <v>4000</v>
      </c>
      <c r="G51" s="307"/>
    </row>
    <row r="52" spans="1:7" s="155" customFormat="1">
      <c r="A52" s="151">
        <v>3</v>
      </c>
      <c r="B52" s="152" t="s">
        <v>218</v>
      </c>
      <c r="C52" s="153" t="s">
        <v>135</v>
      </c>
      <c r="D52" s="153">
        <v>2.2700000000000001E-2</v>
      </c>
      <c r="E52" s="154">
        <v>25200</v>
      </c>
      <c r="F52" s="156">
        <f t="shared" si="2"/>
        <v>572.04000000000008</v>
      </c>
      <c r="G52" s="307"/>
    </row>
    <row r="53" spans="1:7" s="155" customFormat="1">
      <c r="A53" s="151">
        <v>4</v>
      </c>
      <c r="B53" s="152" t="s">
        <v>219</v>
      </c>
      <c r="C53" s="153" t="s">
        <v>143</v>
      </c>
      <c r="D53" s="153">
        <v>2.2700000000000001E-2</v>
      </c>
      <c r="E53" s="154">
        <v>250000</v>
      </c>
      <c r="F53" s="156">
        <f t="shared" si="2"/>
        <v>5675</v>
      </c>
      <c r="G53" s="307"/>
    </row>
    <row r="54" spans="1:7" s="155" customFormat="1">
      <c r="A54" s="151">
        <v>5</v>
      </c>
      <c r="B54" s="152" t="s">
        <v>220</v>
      </c>
      <c r="C54" s="153" t="s">
        <v>221</v>
      </c>
      <c r="D54" s="153">
        <v>0.1</v>
      </c>
      <c r="E54" s="154">
        <v>60000</v>
      </c>
      <c r="F54" s="156">
        <f t="shared" si="2"/>
        <v>6000</v>
      </c>
      <c r="G54" s="307"/>
    </row>
    <row r="55" spans="1:7" s="155" customFormat="1">
      <c r="A55" s="151">
        <v>6</v>
      </c>
      <c r="B55" s="152" t="s">
        <v>222</v>
      </c>
      <c r="C55" s="153" t="s">
        <v>135</v>
      </c>
      <c r="D55" s="153">
        <v>2.2700000000000001E-2</v>
      </c>
      <c r="E55" s="154">
        <v>150000</v>
      </c>
      <c r="F55" s="156">
        <f t="shared" si="2"/>
        <v>3405</v>
      </c>
      <c r="G55" s="307"/>
    </row>
    <row r="56" spans="1:7" s="155" customFormat="1">
      <c r="A56" s="151">
        <v>7</v>
      </c>
      <c r="B56" s="152" t="s">
        <v>223</v>
      </c>
      <c r="C56" s="153" t="s">
        <v>135</v>
      </c>
      <c r="D56" s="153">
        <v>2.2700000000000001E-2</v>
      </c>
      <c r="E56" s="154">
        <v>120000</v>
      </c>
      <c r="F56" s="156">
        <f t="shared" si="2"/>
        <v>2724</v>
      </c>
      <c r="G56" s="308"/>
    </row>
    <row r="57" spans="1:7" s="155" customFormat="1" ht="29.25" customHeight="1">
      <c r="A57" s="151">
        <v>8</v>
      </c>
      <c r="B57" s="152" t="s">
        <v>224</v>
      </c>
      <c r="C57" s="153" t="s">
        <v>135</v>
      </c>
      <c r="D57" s="153">
        <v>4.5499999999999999E-2</v>
      </c>
      <c r="E57" s="154">
        <v>55000</v>
      </c>
      <c r="F57" s="156">
        <f t="shared" si="2"/>
        <v>2502.5</v>
      </c>
      <c r="G57" s="306" t="s">
        <v>494</v>
      </c>
    </row>
    <row r="58" spans="1:7" s="155" customFormat="1" ht="29.25" customHeight="1">
      <c r="A58" s="151">
        <v>9</v>
      </c>
      <c r="B58" s="152" t="s">
        <v>225</v>
      </c>
      <c r="C58" s="153" t="s">
        <v>135</v>
      </c>
      <c r="D58" s="153">
        <v>0.1</v>
      </c>
      <c r="E58" s="154">
        <v>5000</v>
      </c>
      <c r="F58" s="156">
        <f t="shared" si="2"/>
        <v>500</v>
      </c>
      <c r="G58" s="307"/>
    </row>
    <row r="59" spans="1:7" s="155" customFormat="1" ht="43.5" customHeight="1">
      <c r="A59" s="151">
        <v>10</v>
      </c>
      <c r="B59" s="152" t="s">
        <v>226</v>
      </c>
      <c r="C59" s="153" t="s">
        <v>135</v>
      </c>
      <c r="D59" s="153">
        <v>1</v>
      </c>
      <c r="E59" s="154">
        <v>5000</v>
      </c>
      <c r="F59" s="156">
        <f t="shared" si="2"/>
        <v>5000</v>
      </c>
      <c r="G59" s="308"/>
    </row>
    <row r="60" spans="1:7" s="155" customFormat="1">
      <c r="A60" s="198"/>
      <c r="B60" s="164" t="s">
        <v>9</v>
      </c>
      <c r="C60" s="165"/>
      <c r="D60" s="165"/>
      <c r="E60" s="166"/>
      <c r="F60" s="167">
        <f>SUM(F50:F59)</f>
        <v>33647.339999999997</v>
      </c>
      <c r="G60" s="168"/>
    </row>
    <row r="61" spans="1:7" s="155" customFormat="1">
      <c r="A61" s="198" t="s">
        <v>83</v>
      </c>
      <c r="B61" s="164" t="s">
        <v>227</v>
      </c>
      <c r="C61" s="165"/>
      <c r="D61" s="165"/>
      <c r="E61" s="166"/>
      <c r="F61" s="167"/>
      <c r="G61" s="168"/>
    </row>
    <row r="62" spans="1:7" s="155" customFormat="1">
      <c r="A62" s="151">
        <v>1</v>
      </c>
      <c r="B62" s="152" t="s">
        <v>228</v>
      </c>
      <c r="C62" s="153" t="s">
        <v>229</v>
      </c>
      <c r="D62" s="153">
        <v>4.8</v>
      </c>
      <c r="E62" s="205">
        <v>22990</v>
      </c>
      <c r="F62" s="156">
        <f>E62*D62</f>
        <v>110352</v>
      </c>
      <c r="G62" s="168"/>
    </row>
    <row r="63" spans="1:7" s="155" customFormat="1">
      <c r="A63" s="151">
        <v>2</v>
      </c>
      <c r="B63" s="152" t="s">
        <v>230</v>
      </c>
      <c r="C63" s="153" t="s">
        <v>231</v>
      </c>
      <c r="D63" s="153">
        <v>1.5</v>
      </c>
      <c r="E63" s="206">
        <v>2134</v>
      </c>
      <c r="F63" s="156">
        <f>E63*D63</f>
        <v>3201</v>
      </c>
      <c r="G63" s="168"/>
    </row>
    <row r="64" spans="1:7" s="155" customFormat="1">
      <c r="A64" s="151">
        <v>3</v>
      </c>
      <c r="B64" s="152" t="s">
        <v>232</v>
      </c>
      <c r="C64" s="153" t="s">
        <v>229</v>
      </c>
      <c r="D64" s="153">
        <v>10</v>
      </c>
      <c r="E64" s="169">
        <v>12.3</v>
      </c>
      <c r="F64" s="156">
        <f>E64*D64</f>
        <v>123</v>
      </c>
      <c r="G64" s="168"/>
    </row>
    <row r="65" spans="1:7" s="155" customFormat="1">
      <c r="A65" s="311" t="s">
        <v>9</v>
      </c>
      <c r="B65" s="311"/>
      <c r="C65" s="165"/>
      <c r="D65" s="165"/>
      <c r="E65" s="166"/>
      <c r="F65" s="167">
        <f>SUM(F62:F64)</f>
        <v>113676</v>
      </c>
      <c r="G65" s="168"/>
    </row>
    <row r="66" spans="1:7" s="155" customFormat="1" ht="25.5" customHeight="1">
      <c r="A66" s="315" t="s">
        <v>235</v>
      </c>
      <c r="B66" s="315"/>
      <c r="C66" s="315"/>
      <c r="D66" s="315"/>
      <c r="E66" s="315"/>
      <c r="F66" s="315"/>
      <c r="G66" s="168"/>
    </row>
    <row r="67" spans="1:7" s="155" customFormat="1" ht="33">
      <c r="A67" s="207" t="s">
        <v>1</v>
      </c>
      <c r="B67" s="207" t="s">
        <v>205</v>
      </c>
      <c r="C67" s="207" t="s">
        <v>206</v>
      </c>
      <c r="D67" s="207" t="s">
        <v>188</v>
      </c>
      <c r="E67" s="207" t="s">
        <v>452</v>
      </c>
      <c r="F67" s="208" t="s">
        <v>453</v>
      </c>
      <c r="G67" s="168"/>
    </row>
    <row r="68" spans="1:7" s="176" customFormat="1">
      <c r="A68" s="172" t="s">
        <v>208</v>
      </c>
      <c r="B68" s="173" t="s">
        <v>209</v>
      </c>
      <c r="C68" s="172" t="s">
        <v>210</v>
      </c>
      <c r="D68" s="173" t="s">
        <v>211</v>
      </c>
      <c r="E68" s="172" t="s">
        <v>212</v>
      </c>
      <c r="F68" s="174" t="s">
        <v>213</v>
      </c>
      <c r="G68" s="175"/>
    </row>
    <row r="69" spans="1:7" s="155" customFormat="1">
      <c r="A69" s="209" t="s">
        <v>44</v>
      </c>
      <c r="B69" s="210" t="s">
        <v>214</v>
      </c>
      <c r="C69" s="207"/>
      <c r="D69" s="207"/>
      <c r="E69" s="207"/>
      <c r="F69" s="208"/>
      <c r="G69" s="168"/>
    </row>
    <row r="70" spans="1:7" s="155" customFormat="1">
      <c r="A70" s="211">
        <v>1</v>
      </c>
      <c r="B70" s="212" t="s">
        <v>215</v>
      </c>
      <c r="C70" s="213" t="s">
        <v>216</v>
      </c>
      <c r="D70" s="214">
        <v>2.2700000000000001E-2</v>
      </c>
      <c r="E70" s="154">
        <v>144000</v>
      </c>
      <c r="F70" s="156">
        <f>E70*D70</f>
        <v>3268.8</v>
      </c>
      <c r="G70" s="306" t="s">
        <v>489</v>
      </c>
    </row>
    <row r="71" spans="1:7" s="155" customFormat="1">
      <c r="A71" s="211">
        <v>2</v>
      </c>
      <c r="B71" s="212" t="s">
        <v>217</v>
      </c>
      <c r="C71" s="213" t="s">
        <v>216</v>
      </c>
      <c r="D71" s="215">
        <v>3</v>
      </c>
      <c r="E71" s="154">
        <f>1*1000</f>
        <v>1000</v>
      </c>
      <c r="F71" s="156">
        <f t="shared" ref="F71:F79" si="3">E71*D71</f>
        <v>3000</v>
      </c>
      <c r="G71" s="307"/>
    </row>
    <row r="72" spans="1:7" s="155" customFormat="1">
      <c r="A72" s="211">
        <v>3</v>
      </c>
      <c r="B72" s="212" t="s">
        <v>218</v>
      </c>
      <c r="C72" s="213" t="s">
        <v>135</v>
      </c>
      <c r="D72" s="214">
        <v>2.2700000000000001E-2</v>
      </c>
      <c r="E72" s="154">
        <v>25200</v>
      </c>
      <c r="F72" s="156">
        <f t="shared" si="3"/>
        <v>572.04000000000008</v>
      </c>
      <c r="G72" s="307"/>
    </row>
    <row r="73" spans="1:7" s="155" customFormat="1">
      <c r="A73" s="211">
        <v>4</v>
      </c>
      <c r="B73" s="212" t="s">
        <v>219</v>
      </c>
      <c r="C73" s="213" t="s">
        <v>143</v>
      </c>
      <c r="D73" s="214">
        <v>2.2700000000000001E-2</v>
      </c>
      <c r="E73" s="154">
        <v>250000</v>
      </c>
      <c r="F73" s="156">
        <f t="shared" si="3"/>
        <v>5675</v>
      </c>
      <c r="G73" s="307"/>
    </row>
    <row r="74" spans="1:7" s="155" customFormat="1">
      <c r="A74" s="211">
        <v>5</v>
      </c>
      <c r="B74" s="212" t="s">
        <v>220</v>
      </c>
      <c r="C74" s="213" t="s">
        <v>221</v>
      </c>
      <c r="D74" s="216">
        <v>0.1</v>
      </c>
      <c r="E74" s="154">
        <v>60000</v>
      </c>
      <c r="F74" s="156">
        <f t="shared" si="3"/>
        <v>6000</v>
      </c>
      <c r="G74" s="307"/>
    </row>
    <row r="75" spans="1:7" s="155" customFormat="1">
      <c r="A75" s="211">
        <v>6</v>
      </c>
      <c r="B75" s="212" t="s">
        <v>222</v>
      </c>
      <c r="C75" s="213" t="s">
        <v>135</v>
      </c>
      <c r="D75" s="214">
        <v>2.2700000000000001E-2</v>
      </c>
      <c r="E75" s="154">
        <v>150000</v>
      </c>
      <c r="F75" s="156">
        <f t="shared" si="3"/>
        <v>3405</v>
      </c>
      <c r="G75" s="307"/>
    </row>
    <row r="76" spans="1:7" s="155" customFormat="1">
      <c r="A76" s="211">
        <v>7</v>
      </c>
      <c r="B76" s="212" t="s">
        <v>223</v>
      </c>
      <c r="C76" s="213" t="s">
        <v>135</v>
      </c>
      <c r="D76" s="214">
        <v>2.2700000000000001E-2</v>
      </c>
      <c r="E76" s="154">
        <v>120000</v>
      </c>
      <c r="F76" s="156">
        <f t="shared" si="3"/>
        <v>2724</v>
      </c>
      <c r="G76" s="308"/>
    </row>
    <row r="77" spans="1:7" s="155" customFormat="1" ht="32.25" customHeight="1">
      <c r="A77" s="211">
        <v>8</v>
      </c>
      <c r="B77" s="212" t="s">
        <v>224</v>
      </c>
      <c r="C77" s="213" t="s">
        <v>135</v>
      </c>
      <c r="D77" s="214">
        <v>4.5499999999999999E-2</v>
      </c>
      <c r="E77" s="154">
        <v>55000</v>
      </c>
      <c r="F77" s="156">
        <f t="shared" si="3"/>
        <v>2502.5</v>
      </c>
      <c r="G77" s="320" t="s">
        <v>494</v>
      </c>
    </row>
    <row r="78" spans="1:7" s="155" customFormat="1" ht="32.25" customHeight="1">
      <c r="A78" s="211">
        <v>9</v>
      </c>
      <c r="B78" s="212" t="s">
        <v>225</v>
      </c>
      <c r="C78" s="213" t="s">
        <v>135</v>
      </c>
      <c r="D78" s="216">
        <v>0.1</v>
      </c>
      <c r="E78" s="154">
        <v>5000</v>
      </c>
      <c r="F78" s="156">
        <f t="shared" si="3"/>
        <v>500</v>
      </c>
      <c r="G78" s="321"/>
    </row>
    <row r="79" spans="1:7" s="155" customFormat="1" ht="32.25" customHeight="1">
      <c r="A79" s="211">
        <v>10</v>
      </c>
      <c r="B79" s="212" t="s">
        <v>226</v>
      </c>
      <c r="C79" s="213" t="s">
        <v>135</v>
      </c>
      <c r="D79" s="215">
        <v>1</v>
      </c>
      <c r="E79" s="154">
        <v>5000</v>
      </c>
      <c r="F79" s="156">
        <f t="shared" si="3"/>
        <v>5000</v>
      </c>
      <c r="G79" s="322"/>
    </row>
    <row r="80" spans="1:7" s="155" customFormat="1">
      <c r="A80" s="316" t="s">
        <v>9</v>
      </c>
      <c r="B80" s="316"/>
      <c r="C80" s="207"/>
      <c r="D80" s="207"/>
      <c r="E80" s="217"/>
      <c r="F80" s="167">
        <f>SUM(F70:F79)</f>
        <v>32647.34</v>
      </c>
      <c r="G80" s="168"/>
    </row>
    <row r="81" spans="1:9" s="155" customFormat="1">
      <c r="A81" s="209" t="s">
        <v>83</v>
      </c>
      <c r="B81" s="210" t="s">
        <v>227</v>
      </c>
      <c r="C81" s="207"/>
      <c r="D81" s="207"/>
      <c r="E81" s="217"/>
      <c r="F81" s="218"/>
      <c r="G81" s="168"/>
    </row>
    <row r="82" spans="1:9" s="155" customFormat="1" ht="33">
      <c r="A82" s="211">
        <v>1</v>
      </c>
      <c r="B82" s="212" t="s">
        <v>454</v>
      </c>
      <c r="C82" s="213" t="s">
        <v>229</v>
      </c>
      <c r="D82" s="213">
        <v>7.2</v>
      </c>
      <c r="E82" s="154">
        <v>22990</v>
      </c>
      <c r="F82" s="156">
        <f>E82*D82</f>
        <v>165528</v>
      </c>
      <c r="G82" s="168"/>
    </row>
    <row r="83" spans="1:9" s="155" customFormat="1">
      <c r="A83" s="211">
        <v>2</v>
      </c>
      <c r="B83" s="212" t="s">
        <v>230</v>
      </c>
      <c r="C83" s="213" t="s">
        <v>231</v>
      </c>
      <c r="D83" s="213">
        <v>1.5</v>
      </c>
      <c r="E83" s="154">
        <v>2134</v>
      </c>
      <c r="F83" s="156">
        <f>E83*D83</f>
        <v>3201</v>
      </c>
      <c r="G83" s="168"/>
    </row>
    <row r="84" spans="1:9" s="155" customFormat="1">
      <c r="A84" s="211">
        <v>3</v>
      </c>
      <c r="B84" s="212" t="s">
        <v>232</v>
      </c>
      <c r="C84" s="213" t="s">
        <v>229</v>
      </c>
      <c r="D84" s="213">
        <v>10</v>
      </c>
      <c r="E84" s="169">
        <v>12.3</v>
      </c>
      <c r="F84" s="156">
        <f>E84*D84</f>
        <v>123</v>
      </c>
      <c r="G84" s="168"/>
    </row>
    <row r="85" spans="1:9" s="155" customFormat="1">
      <c r="A85" s="316" t="s">
        <v>9</v>
      </c>
      <c r="B85" s="316"/>
      <c r="C85" s="207"/>
      <c r="D85" s="207"/>
      <c r="E85" s="217"/>
      <c r="F85" s="167">
        <f>SUM(F82:F84)</f>
        <v>168852</v>
      </c>
      <c r="G85" s="168"/>
    </row>
    <row r="86" spans="1:9" s="155" customFormat="1" ht="21" customHeight="1">
      <c r="A86" s="315" t="s">
        <v>236</v>
      </c>
      <c r="B86" s="315"/>
      <c r="C86" s="315"/>
      <c r="D86" s="315"/>
      <c r="E86" s="315"/>
      <c r="F86" s="315"/>
      <c r="G86" s="168"/>
    </row>
    <row r="87" spans="1:9" s="155" customFormat="1" ht="33">
      <c r="A87" s="165" t="s">
        <v>1</v>
      </c>
      <c r="B87" s="165" t="s">
        <v>205</v>
      </c>
      <c r="C87" s="165" t="s">
        <v>206</v>
      </c>
      <c r="D87" s="165" t="s">
        <v>188</v>
      </c>
      <c r="E87" s="170" t="s">
        <v>452</v>
      </c>
      <c r="F87" s="171" t="s">
        <v>453</v>
      </c>
      <c r="G87" s="168"/>
    </row>
    <row r="88" spans="1:9" s="176" customFormat="1">
      <c r="A88" s="172" t="s">
        <v>208</v>
      </c>
      <c r="B88" s="173" t="s">
        <v>209</v>
      </c>
      <c r="C88" s="172" t="s">
        <v>210</v>
      </c>
      <c r="D88" s="173" t="s">
        <v>211</v>
      </c>
      <c r="E88" s="172" t="s">
        <v>212</v>
      </c>
      <c r="F88" s="174" t="s">
        <v>213</v>
      </c>
      <c r="G88" s="175"/>
    </row>
    <row r="89" spans="1:9" s="155" customFormat="1">
      <c r="A89" s="198" t="s">
        <v>44</v>
      </c>
      <c r="B89" s="164" t="s">
        <v>214</v>
      </c>
      <c r="C89" s="165"/>
      <c r="D89" s="165"/>
      <c r="E89" s="170"/>
      <c r="F89" s="171"/>
      <c r="G89" s="168"/>
      <c r="I89" s="155">
        <f>150000/5000</f>
        <v>30</v>
      </c>
    </row>
    <row r="90" spans="1:9" s="155" customFormat="1" ht="25.5" customHeight="1">
      <c r="A90" s="151">
        <v>1</v>
      </c>
      <c r="B90" s="152" t="s">
        <v>217</v>
      </c>
      <c r="C90" s="153" t="s">
        <v>216</v>
      </c>
      <c r="D90" s="153">
        <v>1</v>
      </c>
      <c r="E90" s="154">
        <v>1000</v>
      </c>
      <c r="F90" s="156">
        <f>E90*D90</f>
        <v>1000</v>
      </c>
      <c r="G90" s="306" t="s">
        <v>489</v>
      </c>
    </row>
    <row r="91" spans="1:9" s="155" customFormat="1">
      <c r="A91" s="151">
        <v>2</v>
      </c>
      <c r="B91" s="152" t="s">
        <v>238</v>
      </c>
      <c r="C91" s="153" t="s">
        <v>135</v>
      </c>
      <c r="D91" s="153">
        <v>8.0000000000000002E-3</v>
      </c>
      <c r="E91" s="154">
        <v>120000</v>
      </c>
      <c r="F91" s="156">
        <f t="shared" ref="F91:F99" si="4">E91*D91</f>
        <v>960</v>
      </c>
      <c r="G91" s="307"/>
    </row>
    <row r="92" spans="1:9" s="155" customFormat="1">
      <c r="A92" s="151">
        <v>3</v>
      </c>
      <c r="B92" s="152" t="s">
        <v>220</v>
      </c>
      <c r="C92" s="153" t="s">
        <v>221</v>
      </c>
      <c r="D92" s="153">
        <v>0.04</v>
      </c>
      <c r="E92" s="154">
        <v>60000</v>
      </c>
      <c r="F92" s="156">
        <f t="shared" si="4"/>
        <v>2400</v>
      </c>
      <c r="G92" s="307"/>
    </row>
    <row r="93" spans="1:9" s="155" customFormat="1">
      <c r="A93" s="151">
        <v>4</v>
      </c>
      <c r="B93" s="152" t="s">
        <v>239</v>
      </c>
      <c r="C93" s="153" t="s">
        <v>240</v>
      </c>
      <c r="D93" s="153">
        <v>3.0000000000000001E-3</v>
      </c>
      <c r="E93" s="154">
        <v>50000</v>
      </c>
      <c r="F93" s="156">
        <f t="shared" si="4"/>
        <v>150</v>
      </c>
      <c r="G93" s="307"/>
    </row>
    <row r="94" spans="1:9" s="155" customFormat="1">
      <c r="A94" s="151">
        <v>5</v>
      </c>
      <c r="B94" s="152" t="s">
        <v>241</v>
      </c>
      <c r="C94" s="153" t="s">
        <v>135</v>
      </c>
      <c r="D94" s="153">
        <v>1.9E-3</v>
      </c>
      <c r="E94" s="154">
        <v>120000</v>
      </c>
      <c r="F94" s="156">
        <f t="shared" si="4"/>
        <v>228</v>
      </c>
      <c r="G94" s="307"/>
    </row>
    <row r="95" spans="1:9" s="155" customFormat="1">
      <c r="A95" s="151">
        <v>6</v>
      </c>
      <c r="B95" s="152" t="s">
        <v>242</v>
      </c>
      <c r="C95" s="153" t="s">
        <v>243</v>
      </c>
      <c r="D95" s="153">
        <v>0.01</v>
      </c>
      <c r="E95" s="154">
        <v>80000</v>
      </c>
      <c r="F95" s="156">
        <f t="shared" si="4"/>
        <v>800</v>
      </c>
      <c r="G95" s="308"/>
    </row>
    <row r="96" spans="1:9" s="160" customFormat="1" ht="21" customHeight="1">
      <c r="A96" s="151">
        <v>7</v>
      </c>
      <c r="B96" s="152" t="s">
        <v>226</v>
      </c>
      <c r="C96" s="153" t="s">
        <v>135</v>
      </c>
      <c r="D96" s="153">
        <v>1</v>
      </c>
      <c r="E96" s="154">
        <v>5000</v>
      </c>
      <c r="F96" s="156">
        <f>E96*D96</f>
        <v>5000</v>
      </c>
      <c r="G96" s="320" t="s">
        <v>494</v>
      </c>
    </row>
    <row r="97" spans="1:7" s="160" customFormat="1" ht="21" customHeight="1">
      <c r="A97" s="151">
        <v>8</v>
      </c>
      <c r="B97" s="152" t="s">
        <v>237</v>
      </c>
      <c r="C97" s="153" t="s">
        <v>135</v>
      </c>
      <c r="D97" s="153">
        <v>15</v>
      </c>
      <c r="E97" s="154">
        <v>5000</v>
      </c>
      <c r="F97" s="156">
        <f>E97*D97</f>
        <v>75000</v>
      </c>
      <c r="G97" s="321"/>
    </row>
    <row r="98" spans="1:7" s="160" customFormat="1" ht="21" customHeight="1">
      <c r="A98" s="151">
        <v>9</v>
      </c>
      <c r="B98" s="152" t="s">
        <v>225</v>
      </c>
      <c r="C98" s="153" t="s">
        <v>135</v>
      </c>
      <c r="D98" s="153">
        <v>0.1</v>
      </c>
      <c r="E98" s="154">
        <v>5000</v>
      </c>
      <c r="F98" s="156">
        <f t="shared" si="4"/>
        <v>500</v>
      </c>
      <c r="G98" s="321"/>
    </row>
    <row r="99" spans="1:7" s="160" customFormat="1" ht="21" customHeight="1">
      <c r="A99" s="151">
        <v>10</v>
      </c>
      <c r="B99" s="152" t="s">
        <v>244</v>
      </c>
      <c r="C99" s="153" t="s">
        <v>135</v>
      </c>
      <c r="D99" s="153">
        <v>0.1</v>
      </c>
      <c r="E99" s="154">
        <v>25000</v>
      </c>
      <c r="F99" s="156">
        <f t="shared" si="4"/>
        <v>2500</v>
      </c>
      <c r="G99" s="322"/>
    </row>
    <row r="100" spans="1:7" s="155" customFormat="1">
      <c r="A100" s="311" t="s">
        <v>9</v>
      </c>
      <c r="B100" s="311"/>
      <c r="C100" s="165"/>
      <c r="D100" s="165"/>
      <c r="E100" s="166"/>
      <c r="F100" s="167">
        <f>SUM(F90:F99)</f>
        <v>88538</v>
      </c>
      <c r="G100" s="168"/>
    </row>
    <row r="101" spans="1:7" s="155" customFormat="1">
      <c r="A101" s="198" t="s">
        <v>83</v>
      </c>
      <c r="B101" s="164" t="s">
        <v>227</v>
      </c>
      <c r="C101" s="165"/>
      <c r="D101" s="165"/>
      <c r="E101" s="166"/>
      <c r="F101" s="167"/>
      <c r="G101" s="168"/>
    </row>
    <row r="102" spans="1:7" s="155" customFormat="1">
      <c r="A102" s="151">
        <v>1</v>
      </c>
      <c r="B102" s="152" t="s">
        <v>228</v>
      </c>
      <c r="C102" s="153" t="s">
        <v>229</v>
      </c>
      <c r="D102" s="153">
        <v>6</v>
      </c>
      <c r="E102" s="205">
        <v>22990</v>
      </c>
      <c r="F102" s="156">
        <f>E102*D102</f>
        <v>137940</v>
      </c>
      <c r="G102" s="168"/>
    </row>
    <row r="103" spans="1:7" s="155" customFormat="1">
      <c r="A103" s="151">
        <v>2</v>
      </c>
      <c r="B103" s="152" t="s">
        <v>230</v>
      </c>
      <c r="C103" s="153" t="s">
        <v>231</v>
      </c>
      <c r="D103" s="153">
        <v>1.5</v>
      </c>
      <c r="E103" s="206">
        <v>2134</v>
      </c>
      <c r="F103" s="156">
        <f>E103*D103</f>
        <v>3201</v>
      </c>
      <c r="G103" s="168"/>
    </row>
    <row r="104" spans="1:7" s="155" customFormat="1">
      <c r="A104" s="151">
        <v>3</v>
      </c>
      <c r="B104" s="152" t="s">
        <v>232</v>
      </c>
      <c r="C104" s="153" t="s">
        <v>229</v>
      </c>
      <c r="D104" s="153">
        <v>10</v>
      </c>
      <c r="E104" s="169">
        <v>12.3</v>
      </c>
      <c r="F104" s="156">
        <f>E104*D104</f>
        <v>123</v>
      </c>
      <c r="G104" s="168"/>
    </row>
    <row r="105" spans="1:7" s="155" customFormat="1">
      <c r="A105" s="311" t="s">
        <v>9</v>
      </c>
      <c r="B105" s="311"/>
      <c r="C105" s="165"/>
      <c r="D105" s="165"/>
      <c r="E105" s="166"/>
      <c r="F105" s="167">
        <f>SUM(F102:F104)</f>
        <v>141264</v>
      </c>
      <c r="G105" s="168"/>
    </row>
    <row r="106" spans="1:7" s="155" customFormat="1" ht="24.75" customHeight="1">
      <c r="A106" s="315" t="s">
        <v>245</v>
      </c>
      <c r="B106" s="315"/>
      <c r="C106" s="315"/>
      <c r="D106" s="315"/>
      <c r="E106" s="204"/>
      <c r="F106" s="204"/>
      <c r="G106" s="168"/>
    </row>
    <row r="107" spans="1:7" s="155" customFormat="1" ht="33">
      <c r="A107" s="165" t="s">
        <v>1</v>
      </c>
      <c r="B107" s="165" t="s">
        <v>205</v>
      </c>
      <c r="C107" s="165" t="s">
        <v>206</v>
      </c>
      <c r="D107" s="165" t="s">
        <v>188</v>
      </c>
      <c r="E107" s="170" t="s">
        <v>452</v>
      </c>
      <c r="F107" s="171" t="s">
        <v>453</v>
      </c>
      <c r="G107" s="168"/>
    </row>
    <row r="108" spans="1:7" s="176" customFormat="1">
      <c r="A108" s="172" t="s">
        <v>208</v>
      </c>
      <c r="B108" s="173" t="s">
        <v>209</v>
      </c>
      <c r="C108" s="172" t="s">
        <v>210</v>
      </c>
      <c r="D108" s="173" t="s">
        <v>211</v>
      </c>
      <c r="E108" s="172" t="s">
        <v>212</v>
      </c>
      <c r="F108" s="174" t="s">
        <v>213</v>
      </c>
      <c r="G108" s="175"/>
    </row>
    <row r="109" spans="1:7" s="155" customFormat="1">
      <c r="A109" s="198" t="s">
        <v>44</v>
      </c>
      <c r="B109" s="164" t="s">
        <v>214</v>
      </c>
      <c r="C109" s="165"/>
      <c r="D109" s="165"/>
      <c r="E109" s="170"/>
      <c r="F109" s="171"/>
      <c r="G109" s="168"/>
    </row>
    <row r="110" spans="1:7" s="155" customFormat="1">
      <c r="A110" s="151">
        <v>1</v>
      </c>
      <c r="B110" s="152" t="s">
        <v>237</v>
      </c>
      <c r="C110" s="153" t="s">
        <v>135</v>
      </c>
      <c r="D110" s="153">
        <v>16</v>
      </c>
      <c r="E110" s="154">
        <v>5000</v>
      </c>
      <c r="F110" s="156">
        <f>E110*D110</f>
        <v>80000</v>
      </c>
      <c r="G110" s="306" t="s">
        <v>489</v>
      </c>
    </row>
    <row r="111" spans="1:7" s="155" customFormat="1">
      <c r="A111" s="151">
        <v>2</v>
      </c>
      <c r="B111" s="152" t="s">
        <v>217</v>
      </c>
      <c r="C111" s="153" t="s">
        <v>216</v>
      </c>
      <c r="D111" s="153">
        <v>7</v>
      </c>
      <c r="E111" s="154">
        <v>1000</v>
      </c>
      <c r="F111" s="156">
        <f t="shared" ref="F111:F122" si="5">E111*D111</f>
        <v>7000</v>
      </c>
      <c r="G111" s="307"/>
    </row>
    <row r="112" spans="1:7" s="155" customFormat="1">
      <c r="A112" s="151">
        <v>3</v>
      </c>
      <c r="B112" s="152" t="s">
        <v>238</v>
      </c>
      <c r="C112" s="153" t="s">
        <v>135</v>
      </c>
      <c r="D112" s="153">
        <v>1E-4</v>
      </c>
      <c r="E112" s="154">
        <v>120000</v>
      </c>
      <c r="F112" s="156">
        <f t="shared" si="5"/>
        <v>12</v>
      </c>
      <c r="G112" s="307"/>
    </row>
    <row r="113" spans="1:7" s="155" customFormat="1">
      <c r="A113" s="151">
        <v>4</v>
      </c>
      <c r="B113" s="152" t="s">
        <v>220</v>
      </c>
      <c r="C113" s="153" t="s">
        <v>221</v>
      </c>
      <c r="D113" s="153">
        <v>0.1</v>
      </c>
      <c r="E113" s="154">
        <v>60000</v>
      </c>
      <c r="F113" s="156">
        <f t="shared" si="5"/>
        <v>6000</v>
      </c>
      <c r="G113" s="307"/>
    </row>
    <row r="114" spans="1:7" s="155" customFormat="1">
      <c r="A114" s="151">
        <v>5</v>
      </c>
      <c r="B114" s="152" t="s">
        <v>239</v>
      </c>
      <c r="C114" s="153" t="s">
        <v>240</v>
      </c>
      <c r="D114" s="153">
        <v>2.8E-3</v>
      </c>
      <c r="E114" s="154">
        <v>50000</v>
      </c>
      <c r="F114" s="156">
        <f t="shared" si="5"/>
        <v>140</v>
      </c>
      <c r="G114" s="307"/>
    </row>
    <row r="115" spans="1:7" s="155" customFormat="1">
      <c r="A115" s="151">
        <v>6</v>
      </c>
      <c r="B115" s="152" t="s">
        <v>241</v>
      </c>
      <c r="C115" s="153" t="s">
        <v>135</v>
      </c>
      <c r="D115" s="153">
        <v>1.9E-3</v>
      </c>
      <c r="E115" s="154">
        <v>120000</v>
      </c>
      <c r="F115" s="156">
        <f t="shared" si="5"/>
        <v>228</v>
      </c>
      <c r="G115" s="307"/>
    </row>
    <row r="116" spans="1:7" s="155" customFormat="1">
      <c r="A116" s="151">
        <v>7</v>
      </c>
      <c r="B116" s="152" t="s">
        <v>242</v>
      </c>
      <c r="C116" s="153" t="s">
        <v>243</v>
      </c>
      <c r="D116" s="153">
        <v>0.02</v>
      </c>
      <c r="E116" s="154">
        <v>80000</v>
      </c>
      <c r="F116" s="156">
        <f>E116*D116</f>
        <v>1600</v>
      </c>
      <c r="G116" s="308"/>
    </row>
    <row r="117" spans="1:7" s="155" customFormat="1" ht="33.75" customHeight="1">
      <c r="A117" s="151">
        <v>8</v>
      </c>
      <c r="B117" s="152" t="s">
        <v>226</v>
      </c>
      <c r="C117" s="153" t="s">
        <v>135</v>
      </c>
      <c r="D117" s="153">
        <v>5</v>
      </c>
      <c r="E117" s="154">
        <v>5000</v>
      </c>
      <c r="F117" s="156">
        <f>E117*D117</f>
        <v>25000</v>
      </c>
      <c r="G117" s="306" t="s">
        <v>494</v>
      </c>
    </row>
    <row r="118" spans="1:7" s="155" customFormat="1" ht="33.75" customHeight="1">
      <c r="A118" s="151">
        <v>9</v>
      </c>
      <c r="B118" s="152" t="s">
        <v>225</v>
      </c>
      <c r="C118" s="153" t="s">
        <v>135</v>
      </c>
      <c r="D118" s="153">
        <v>0.1</v>
      </c>
      <c r="E118" s="154">
        <v>5000</v>
      </c>
      <c r="F118" s="156">
        <f t="shared" si="5"/>
        <v>500</v>
      </c>
      <c r="G118" s="307"/>
    </row>
    <row r="119" spans="1:7" s="155" customFormat="1" ht="33.75" customHeight="1">
      <c r="A119" s="151">
        <v>10</v>
      </c>
      <c r="B119" s="152" t="s">
        <v>244</v>
      </c>
      <c r="C119" s="153" t="s">
        <v>135</v>
      </c>
      <c r="D119" s="153">
        <v>0.1</v>
      </c>
      <c r="E119" s="154">
        <v>25000</v>
      </c>
      <c r="F119" s="156">
        <f t="shared" si="5"/>
        <v>2500</v>
      </c>
      <c r="G119" s="308"/>
    </row>
    <row r="120" spans="1:7" s="155" customFormat="1" ht="52.5" customHeight="1">
      <c r="A120" s="151">
        <v>11</v>
      </c>
      <c r="B120" s="152" t="s">
        <v>246</v>
      </c>
      <c r="C120" s="153" t="s">
        <v>135</v>
      </c>
      <c r="D120" s="153">
        <v>2.0000000000000001E-4</v>
      </c>
      <c r="E120" s="154">
        <v>30000</v>
      </c>
      <c r="F120" s="156">
        <f>E120*D120</f>
        <v>6</v>
      </c>
      <c r="G120" s="332" t="s">
        <v>495</v>
      </c>
    </row>
    <row r="121" spans="1:7" s="155" customFormat="1" ht="52.5" customHeight="1">
      <c r="A121" s="151">
        <v>12</v>
      </c>
      <c r="B121" s="152" t="s">
        <v>247</v>
      </c>
      <c r="C121" s="153" t="s">
        <v>248</v>
      </c>
      <c r="D121" s="153">
        <v>8</v>
      </c>
      <c r="E121" s="154">
        <v>8000</v>
      </c>
      <c r="F121" s="156">
        <f t="shared" si="5"/>
        <v>64000</v>
      </c>
      <c r="G121" s="334"/>
    </row>
    <row r="122" spans="1:7" s="155" customFormat="1">
      <c r="A122" s="151">
        <v>13</v>
      </c>
      <c r="B122" s="152" t="s">
        <v>249</v>
      </c>
      <c r="C122" s="153" t="s">
        <v>250</v>
      </c>
      <c r="D122" s="153">
        <v>2.0000000000000001E-4</v>
      </c>
      <c r="E122" s="154">
        <v>25000</v>
      </c>
      <c r="F122" s="156">
        <f t="shared" si="5"/>
        <v>5</v>
      </c>
      <c r="G122" s="219"/>
    </row>
    <row r="123" spans="1:7" s="155" customFormat="1">
      <c r="A123" s="311" t="s">
        <v>9</v>
      </c>
      <c r="B123" s="311"/>
      <c r="C123" s="165"/>
      <c r="D123" s="165"/>
      <c r="E123" s="166"/>
      <c r="F123" s="167">
        <f>SUM(F110:F122)</f>
        <v>186991</v>
      </c>
      <c r="G123" s="168"/>
    </row>
    <row r="124" spans="1:7" s="155" customFormat="1">
      <c r="A124" s="198" t="s">
        <v>83</v>
      </c>
      <c r="B124" s="164" t="s">
        <v>227</v>
      </c>
      <c r="C124" s="165"/>
      <c r="D124" s="165"/>
      <c r="E124" s="166"/>
      <c r="F124" s="167"/>
      <c r="G124" s="168"/>
    </row>
    <row r="125" spans="1:7" s="155" customFormat="1">
      <c r="A125" s="151">
        <v>1</v>
      </c>
      <c r="B125" s="152" t="s">
        <v>230</v>
      </c>
      <c r="C125" s="153" t="s">
        <v>231</v>
      </c>
      <c r="D125" s="153">
        <v>80</v>
      </c>
      <c r="E125" s="154">
        <v>2134</v>
      </c>
      <c r="F125" s="156">
        <f>E125*D125</f>
        <v>170720</v>
      </c>
      <c r="G125" s="168"/>
    </row>
    <row r="126" spans="1:7" s="155" customFormat="1">
      <c r="A126" s="151">
        <v>2</v>
      </c>
      <c r="B126" s="152" t="s">
        <v>232</v>
      </c>
      <c r="C126" s="153" t="s">
        <v>229</v>
      </c>
      <c r="D126" s="153">
        <v>50</v>
      </c>
      <c r="E126" s="169">
        <v>12.3</v>
      </c>
      <c r="F126" s="156">
        <f>E126*D126</f>
        <v>615</v>
      </c>
      <c r="G126" s="168"/>
    </row>
    <row r="127" spans="1:7" s="155" customFormat="1">
      <c r="A127" s="311" t="s">
        <v>9</v>
      </c>
      <c r="B127" s="311"/>
      <c r="C127" s="165"/>
      <c r="D127" s="165"/>
      <c r="E127" s="166"/>
      <c r="F127" s="167">
        <f>SUM(F125:F126)</f>
        <v>171335</v>
      </c>
      <c r="G127" s="168"/>
    </row>
    <row r="128" spans="1:7" s="155" customFormat="1" ht="25.5" customHeight="1">
      <c r="A128" s="315" t="s">
        <v>251</v>
      </c>
      <c r="B128" s="315"/>
      <c r="C128" s="315"/>
      <c r="D128" s="315"/>
      <c r="E128" s="315"/>
      <c r="F128" s="315"/>
      <c r="G128" s="168"/>
    </row>
    <row r="129" spans="1:7" s="155" customFormat="1" ht="60.75" customHeight="1">
      <c r="A129" s="317" t="s">
        <v>252</v>
      </c>
      <c r="B129" s="317"/>
      <c r="C129" s="317"/>
      <c r="D129" s="317"/>
      <c r="E129" s="317"/>
      <c r="F129" s="317"/>
      <c r="G129" s="168"/>
    </row>
    <row r="130" spans="1:7" s="155" customFormat="1" ht="49.5">
      <c r="A130" s="165" t="s">
        <v>1</v>
      </c>
      <c r="B130" s="165" t="s">
        <v>253</v>
      </c>
      <c r="C130" s="165" t="s">
        <v>105</v>
      </c>
      <c r="D130" s="165" t="s">
        <v>455</v>
      </c>
      <c r="E130" s="170" t="s">
        <v>254</v>
      </c>
      <c r="F130" s="171" t="s">
        <v>255</v>
      </c>
      <c r="G130" s="168"/>
    </row>
    <row r="131" spans="1:7" s="155" customFormat="1">
      <c r="A131" s="153">
        <v>1</v>
      </c>
      <c r="B131" s="163" t="s">
        <v>256</v>
      </c>
      <c r="C131" s="163" t="s">
        <v>257</v>
      </c>
      <c r="D131" s="153">
        <v>0.2</v>
      </c>
      <c r="E131" s="154">
        <v>65000</v>
      </c>
      <c r="F131" s="156">
        <f>E131*D131</f>
        <v>13000</v>
      </c>
      <c r="G131" s="168"/>
    </row>
    <row r="132" spans="1:7" s="155" customFormat="1">
      <c r="A132" s="153">
        <v>2</v>
      </c>
      <c r="B132" s="163" t="s">
        <v>258</v>
      </c>
      <c r="C132" s="163" t="s">
        <v>221</v>
      </c>
      <c r="D132" s="153">
        <v>0.05</v>
      </c>
      <c r="E132" s="154">
        <v>70000</v>
      </c>
      <c r="F132" s="156">
        <f>E132*D132</f>
        <v>3500</v>
      </c>
      <c r="G132" s="168"/>
    </row>
    <row r="133" spans="1:7" s="155" customFormat="1">
      <c r="A133" s="153">
        <v>3</v>
      </c>
      <c r="B133" s="163" t="s">
        <v>262</v>
      </c>
      <c r="C133" s="163" t="s">
        <v>221</v>
      </c>
      <c r="D133" s="153">
        <v>2E-3</v>
      </c>
      <c r="E133" s="154">
        <v>350000</v>
      </c>
      <c r="F133" s="156">
        <f>E133*D133</f>
        <v>700</v>
      </c>
      <c r="G133" s="168"/>
    </row>
    <row r="134" spans="1:7" s="155" customFormat="1" ht="26.25" customHeight="1">
      <c r="A134" s="153">
        <v>4</v>
      </c>
      <c r="B134" s="163" t="s">
        <v>259</v>
      </c>
      <c r="C134" s="163" t="s">
        <v>135</v>
      </c>
      <c r="D134" s="153">
        <v>10</v>
      </c>
      <c r="E134" s="154">
        <v>5000</v>
      </c>
      <c r="F134" s="156">
        <f t="shared" ref="F134:F139" si="6">E134*D134</f>
        <v>50000</v>
      </c>
      <c r="G134" s="332" t="s">
        <v>494</v>
      </c>
    </row>
    <row r="135" spans="1:7" s="155" customFormat="1" ht="26.25" customHeight="1">
      <c r="A135" s="153">
        <v>5</v>
      </c>
      <c r="B135" s="163" t="s">
        <v>226</v>
      </c>
      <c r="C135" s="163" t="s">
        <v>135</v>
      </c>
      <c r="D135" s="153">
        <v>2</v>
      </c>
      <c r="E135" s="154">
        <v>5000</v>
      </c>
      <c r="F135" s="156">
        <f t="shared" si="6"/>
        <v>10000</v>
      </c>
      <c r="G135" s="333"/>
    </row>
    <row r="136" spans="1:7" s="155" customFormat="1" ht="26.25" customHeight="1">
      <c r="A136" s="153">
        <v>6</v>
      </c>
      <c r="B136" s="163" t="s">
        <v>261</v>
      </c>
      <c r="C136" s="163" t="s">
        <v>135</v>
      </c>
      <c r="D136" s="153">
        <v>3</v>
      </c>
      <c r="E136" s="154">
        <v>10000</v>
      </c>
      <c r="F136" s="156">
        <f t="shared" si="6"/>
        <v>30000</v>
      </c>
      <c r="G136" s="334"/>
    </row>
    <row r="137" spans="1:7" s="155" customFormat="1" ht="35.25" customHeight="1">
      <c r="A137" s="153">
        <v>7</v>
      </c>
      <c r="B137" s="163" t="s">
        <v>260</v>
      </c>
      <c r="C137" s="163" t="s">
        <v>135</v>
      </c>
      <c r="D137" s="153">
        <v>3</v>
      </c>
      <c r="E137" s="154">
        <v>5000</v>
      </c>
      <c r="F137" s="156">
        <f>E137*D137</f>
        <v>15000</v>
      </c>
      <c r="G137" s="332" t="s">
        <v>489</v>
      </c>
    </row>
    <row r="138" spans="1:7" s="155" customFormat="1" ht="35.25" customHeight="1">
      <c r="A138" s="153">
        <v>8</v>
      </c>
      <c r="B138" s="163" t="s">
        <v>217</v>
      </c>
      <c r="C138" s="163" t="s">
        <v>221</v>
      </c>
      <c r="D138" s="153">
        <v>0.01</v>
      </c>
      <c r="E138" s="154">
        <v>100000</v>
      </c>
      <c r="F138" s="156">
        <f t="shared" si="6"/>
        <v>1000</v>
      </c>
      <c r="G138" s="333"/>
    </row>
    <row r="139" spans="1:7" s="155" customFormat="1" ht="35.25" customHeight="1">
      <c r="A139" s="153">
        <v>9</v>
      </c>
      <c r="B139" s="163" t="s">
        <v>242</v>
      </c>
      <c r="C139" s="163" t="s">
        <v>243</v>
      </c>
      <c r="D139" s="153">
        <v>2E-3</v>
      </c>
      <c r="E139" s="154">
        <v>80000</v>
      </c>
      <c r="F139" s="156">
        <f t="shared" si="6"/>
        <v>160</v>
      </c>
      <c r="G139" s="334"/>
    </row>
    <row r="140" spans="1:7" s="155" customFormat="1">
      <c r="A140" s="220"/>
      <c r="B140" s="220" t="s">
        <v>263</v>
      </c>
      <c r="C140" s="220"/>
      <c r="D140" s="220"/>
      <c r="E140" s="220"/>
      <c r="F140" s="167">
        <f>SUM(F131:F139)</f>
        <v>123360</v>
      </c>
      <c r="G140" s="168"/>
    </row>
    <row r="141" spans="1:7" s="155" customFormat="1" ht="49.5">
      <c r="A141" s="165" t="s">
        <v>1</v>
      </c>
      <c r="B141" s="165" t="s">
        <v>264</v>
      </c>
      <c r="C141" s="165" t="s">
        <v>105</v>
      </c>
      <c r="D141" s="165" t="s">
        <v>265</v>
      </c>
      <c r="E141" s="170" t="s">
        <v>254</v>
      </c>
      <c r="F141" s="171" t="s">
        <v>266</v>
      </c>
      <c r="G141" s="168"/>
    </row>
    <row r="142" spans="1:7" s="155" customFormat="1" ht="27" customHeight="1">
      <c r="A142" s="153">
        <v>1</v>
      </c>
      <c r="B142" s="152" t="s">
        <v>230</v>
      </c>
      <c r="C142" s="153" t="s">
        <v>267</v>
      </c>
      <c r="D142" s="153">
        <v>12</v>
      </c>
      <c r="E142" s="154">
        <v>2134</v>
      </c>
      <c r="F142" s="156">
        <f>E142*D142</f>
        <v>25608</v>
      </c>
      <c r="G142" s="168"/>
    </row>
    <row r="143" spans="1:7" s="155" customFormat="1" ht="27" customHeight="1">
      <c r="A143" s="153">
        <v>2</v>
      </c>
      <c r="B143" s="152" t="s">
        <v>232</v>
      </c>
      <c r="C143" s="153" t="s">
        <v>268</v>
      </c>
      <c r="D143" s="153">
        <v>1</v>
      </c>
      <c r="E143" s="169">
        <v>12.3</v>
      </c>
      <c r="F143" s="156">
        <f>E143*D143</f>
        <v>12.3</v>
      </c>
      <c r="G143" s="168"/>
    </row>
    <row r="144" spans="1:7" s="155" customFormat="1" ht="26.25" customHeight="1">
      <c r="A144" s="153"/>
      <c r="B144" s="318" t="s">
        <v>269</v>
      </c>
      <c r="C144" s="318"/>
      <c r="D144" s="153"/>
      <c r="E144" s="220"/>
      <c r="F144" s="167">
        <f>SUM(F142:F143)</f>
        <v>25620.3</v>
      </c>
      <c r="G144" s="168"/>
    </row>
    <row r="145" spans="1:7" s="160" customFormat="1" ht="27" customHeight="1">
      <c r="A145" s="315" t="s">
        <v>270</v>
      </c>
      <c r="B145" s="315"/>
      <c r="C145" s="315"/>
      <c r="D145" s="315"/>
      <c r="E145" s="315"/>
      <c r="F145" s="315"/>
      <c r="G145" s="221"/>
    </row>
    <row r="146" spans="1:7" s="155" customFormat="1" ht="49.5">
      <c r="A146" s="170" t="s">
        <v>1</v>
      </c>
      <c r="B146" s="170" t="s">
        <v>271</v>
      </c>
      <c r="C146" s="170" t="s">
        <v>105</v>
      </c>
      <c r="D146" s="165" t="s">
        <v>265</v>
      </c>
      <c r="E146" s="170" t="s">
        <v>254</v>
      </c>
      <c r="F146" s="171" t="s">
        <v>266</v>
      </c>
      <c r="G146" s="168"/>
    </row>
    <row r="147" spans="1:7" s="155" customFormat="1" ht="132">
      <c r="A147" s="222">
        <v>1</v>
      </c>
      <c r="B147" s="222" t="s">
        <v>272</v>
      </c>
      <c r="C147" s="222" t="s">
        <v>273</v>
      </c>
      <c r="D147" s="153" t="s">
        <v>274</v>
      </c>
      <c r="E147" s="222">
        <v>5000000</v>
      </c>
      <c r="F147" s="223">
        <f>E147*1</f>
        <v>5000000</v>
      </c>
      <c r="G147" s="306" t="s">
        <v>492</v>
      </c>
    </row>
    <row r="148" spans="1:7" s="155" customFormat="1" ht="49.5">
      <c r="A148" s="222">
        <v>2</v>
      </c>
      <c r="B148" s="222" t="s">
        <v>24</v>
      </c>
      <c r="C148" s="222" t="s">
        <v>273</v>
      </c>
      <c r="D148" s="153" t="s">
        <v>87</v>
      </c>
      <c r="E148" s="222">
        <v>4000000</v>
      </c>
      <c r="F148" s="223">
        <f>E148*1</f>
        <v>4000000</v>
      </c>
      <c r="G148" s="307"/>
    </row>
    <row r="149" spans="1:7" s="155" customFormat="1" ht="89.25" customHeight="1">
      <c r="A149" s="222">
        <v>3</v>
      </c>
      <c r="B149" s="222" t="s">
        <v>25</v>
      </c>
      <c r="C149" s="222" t="s">
        <v>273</v>
      </c>
      <c r="D149" s="153" t="s">
        <v>275</v>
      </c>
      <c r="E149" s="222">
        <v>10000000</v>
      </c>
      <c r="F149" s="223">
        <f>E149*1</f>
        <v>10000000</v>
      </c>
      <c r="G149" s="308"/>
    </row>
    <row r="150" spans="1:7" s="155" customFormat="1" hidden="1">
      <c r="A150" s="224"/>
      <c r="B150" s="168"/>
      <c r="C150" s="168"/>
      <c r="D150" s="168"/>
      <c r="E150" s="225"/>
      <c r="F150" s="226"/>
      <c r="G150" s="168"/>
    </row>
    <row r="151" spans="1:7" s="155" customFormat="1" hidden="1">
      <c r="A151" s="227"/>
      <c r="E151" s="204"/>
      <c r="F151" s="204"/>
      <c r="G151" s="168"/>
    </row>
    <row r="152" spans="1:7" s="155" customFormat="1" hidden="1">
      <c r="A152" s="319" t="s">
        <v>276</v>
      </c>
      <c r="B152" s="319"/>
      <c r="C152" s="319"/>
      <c r="D152" s="319"/>
      <c r="E152" s="319"/>
      <c r="F152" s="319"/>
      <c r="G152" s="168"/>
    </row>
    <row r="153" spans="1:7" s="155" customFormat="1" ht="30.75" hidden="1" customHeight="1">
      <c r="A153" s="198" t="s">
        <v>1</v>
      </c>
      <c r="B153" s="228" t="s">
        <v>277</v>
      </c>
      <c r="C153" s="228" t="s">
        <v>105</v>
      </c>
      <c r="D153" s="228" t="s">
        <v>278</v>
      </c>
      <c r="E153" s="228" t="s">
        <v>279</v>
      </c>
      <c r="F153" s="229" t="s">
        <v>266</v>
      </c>
      <c r="G153" s="168"/>
    </row>
    <row r="154" spans="1:7" s="155" customFormat="1" ht="198" hidden="1">
      <c r="A154" s="224">
        <v>1</v>
      </c>
      <c r="B154" s="152" t="s">
        <v>280</v>
      </c>
      <c r="C154" s="151" t="s">
        <v>281</v>
      </c>
      <c r="D154" s="151">
        <v>125</v>
      </c>
      <c r="E154" s="230">
        <v>12000</v>
      </c>
      <c r="F154" s="231"/>
      <c r="G154" s="224" t="s">
        <v>282</v>
      </c>
    </row>
    <row r="155" spans="1:7" s="155" customFormat="1" hidden="1">
      <c r="A155" s="227"/>
      <c r="F155" s="204"/>
      <c r="G155" s="168"/>
    </row>
    <row r="156" spans="1:7" s="155" customFormat="1" ht="21.75" customHeight="1">
      <c r="A156" s="315" t="s">
        <v>283</v>
      </c>
      <c r="B156" s="315"/>
      <c r="C156" s="315"/>
      <c r="D156" s="315"/>
      <c r="E156" s="315"/>
      <c r="F156" s="315"/>
      <c r="G156" s="168"/>
    </row>
    <row r="157" spans="1:7" s="155" customFormat="1" ht="18" customHeight="1">
      <c r="A157" s="315" t="s">
        <v>284</v>
      </c>
      <c r="B157" s="315"/>
      <c r="C157" s="315"/>
      <c r="D157" s="315"/>
      <c r="E157" s="315"/>
      <c r="F157" s="315"/>
      <c r="G157" s="168"/>
    </row>
    <row r="158" spans="1:7" s="155" customFormat="1" ht="33">
      <c r="A158" s="165" t="s">
        <v>1</v>
      </c>
      <c r="B158" s="165" t="s">
        <v>205</v>
      </c>
      <c r="C158" s="165" t="s">
        <v>206</v>
      </c>
      <c r="D158" s="165" t="s">
        <v>188</v>
      </c>
      <c r="E158" s="170" t="s">
        <v>452</v>
      </c>
      <c r="F158" s="171" t="s">
        <v>453</v>
      </c>
      <c r="G158" s="168"/>
    </row>
    <row r="159" spans="1:7" s="176" customFormat="1">
      <c r="A159" s="172" t="s">
        <v>208</v>
      </c>
      <c r="B159" s="173" t="s">
        <v>209</v>
      </c>
      <c r="C159" s="172" t="s">
        <v>210</v>
      </c>
      <c r="D159" s="173" t="s">
        <v>211</v>
      </c>
      <c r="E159" s="172" t="s">
        <v>212</v>
      </c>
      <c r="F159" s="174" t="s">
        <v>213</v>
      </c>
      <c r="G159" s="175"/>
    </row>
    <row r="160" spans="1:7" s="155" customFormat="1">
      <c r="A160" s="198" t="s">
        <v>44</v>
      </c>
      <c r="B160" s="164" t="s">
        <v>285</v>
      </c>
      <c r="C160" s="165"/>
      <c r="D160" s="165"/>
      <c r="E160" s="170"/>
      <c r="F160" s="171"/>
      <c r="G160" s="168"/>
    </row>
    <row r="161" spans="1:7" s="155" customFormat="1" ht="18.75">
      <c r="A161" s="151">
        <v>1</v>
      </c>
      <c r="B161" s="152" t="s">
        <v>286</v>
      </c>
      <c r="C161" s="153" t="s">
        <v>287</v>
      </c>
      <c r="D161" s="153">
        <v>3.7999999999999999E-2</v>
      </c>
      <c r="E161" s="159">
        <f>350000/500</f>
        <v>700</v>
      </c>
      <c r="F161" s="157">
        <f>D161*E161</f>
        <v>26.599999999999998</v>
      </c>
      <c r="G161" s="326" t="s">
        <v>493</v>
      </c>
    </row>
    <row r="162" spans="1:7" s="155" customFormat="1" ht="18.75">
      <c r="A162" s="151">
        <v>2</v>
      </c>
      <c r="B162" s="152" t="s">
        <v>288</v>
      </c>
      <c r="C162" s="153" t="s">
        <v>289</v>
      </c>
      <c r="D162" s="153">
        <v>40</v>
      </c>
      <c r="E162" s="159">
        <f>100000/500</f>
        <v>200</v>
      </c>
      <c r="F162" s="157">
        <f t="shared" ref="F162:F189" si="7">D162*E162</f>
        <v>8000</v>
      </c>
      <c r="G162" s="327"/>
    </row>
    <row r="163" spans="1:7" s="155" customFormat="1" ht="18.75">
      <c r="A163" s="151">
        <v>3</v>
      </c>
      <c r="B163" s="152" t="s">
        <v>290</v>
      </c>
      <c r="C163" s="153" t="s">
        <v>289</v>
      </c>
      <c r="D163" s="153">
        <v>30</v>
      </c>
      <c r="E163" s="159">
        <f>100000/500</f>
        <v>200</v>
      </c>
      <c r="F163" s="157">
        <f t="shared" si="7"/>
        <v>6000</v>
      </c>
      <c r="G163" s="327"/>
    </row>
    <row r="164" spans="1:7" s="155" customFormat="1" ht="18.75">
      <c r="A164" s="151">
        <v>4</v>
      </c>
      <c r="B164" s="152" t="s">
        <v>291</v>
      </c>
      <c r="C164" s="153" t="s">
        <v>287</v>
      </c>
      <c r="D164" s="153">
        <v>0.02</v>
      </c>
      <c r="E164" s="159">
        <f>3960000/500</f>
        <v>7920</v>
      </c>
      <c r="F164" s="157">
        <f t="shared" si="7"/>
        <v>158.4</v>
      </c>
      <c r="G164" s="327"/>
    </row>
    <row r="165" spans="1:7" s="155" customFormat="1" ht="18.75">
      <c r="A165" s="151">
        <v>5</v>
      </c>
      <c r="B165" s="152" t="s">
        <v>292</v>
      </c>
      <c r="C165" s="153" t="s">
        <v>287</v>
      </c>
      <c r="D165" s="153">
        <v>10</v>
      </c>
      <c r="E165" s="159">
        <f>400000/500</f>
        <v>800</v>
      </c>
      <c r="F165" s="157">
        <f t="shared" si="7"/>
        <v>8000</v>
      </c>
      <c r="G165" s="327"/>
    </row>
    <row r="166" spans="1:7" s="155" customFormat="1" ht="18.75">
      <c r="A166" s="151">
        <v>6</v>
      </c>
      <c r="B166" s="152" t="s">
        <v>293</v>
      </c>
      <c r="C166" s="153" t="s">
        <v>287</v>
      </c>
      <c r="D166" s="153">
        <v>60</v>
      </c>
      <c r="E166" s="159">
        <f>170000/500</f>
        <v>340</v>
      </c>
      <c r="F166" s="157">
        <f t="shared" si="7"/>
        <v>20400</v>
      </c>
      <c r="G166" s="327"/>
    </row>
    <row r="167" spans="1:7" s="155" customFormat="1" ht="18.75">
      <c r="A167" s="151">
        <v>7</v>
      </c>
      <c r="B167" s="152" t="s">
        <v>294</v>
      </c>
      <c r="C167" s="153" t="s">
        <v>287</v>
      </c>
      <c r="D167" s="153">
        <v>3</v>
      </c>
      <c r="E167" s="159">
        <f>400000/500</f>
        <v>800</v>
      </c>
      <c r="F167" s="157">
        <f t="shared" si="7"/>
        <v>2400</v>
      </c>
      <c r="G167" s="327"/>
    </row>
    <row r="168" spans="1:7" s="155" customFormat="1" ht="18.75">
      <c r="A168" s="151">
        <v>8</v>
      </c>
      <c r="B168" s="152" t="s">
        <v>295</v>
      </c>
      <c r="C168" s="153" t="s">
        <v>287</v>
      </c>
      <c r="D168" s="153">
        <v>6</v>
      </c>
      <c r="E168" s="159">
        <f>180000/500</f>
        <v>360</v>
      </c>
      <c r="F168" s="157">
        <f t="shared" si="7"/>
        <v>2160</v>
      </c>
      <c r="G168" s="327"/>
    </row>
    <row r="169" spans="1:7" s="155" customFormat="1" ht="18.75">
      <c r="A169" s="151">
        <v>9</v>
      </c>
      <c r="B169" s="152" t="s">
        <v>296</v>
      </c>
      <c r="C169" s="153" t="s">
        <v>287</v>
      </c>
      <c r="D169" s="153">
        <v>2</v>
      </c>
      <c r="E169" s="159">
        <f>180000/500</f>
        <v>360</v>
      </c>
      <c r="F169" s="157">
        <f t="shared" si="7"/>
        <v>720</v>
      </c>
      <c r="G169" s="327"/>
    </row>
    <row r="170" spans="1:7" s="155" customFormat="1" ht="18.75">
      <c r="A170" s="151">
        <v>10</v>
      </c>
      <c r="B170" s="152" t="s">
        <v>297</v>
      </c>
      <c r="C170" s="153" t="s">
        <v>289</v>
      </c>
      <c r="D170" s="153">
        <v>2</v>
      </c>
      <c r="E170" s="159">
        <f>250000/500</f>
        <v>500</v>
      </c>
      <c r="F170" s="157">
        <f t="shared" si="7"/>
        <v>1000</v>
      </c>
      <c r="G170" s="327"/>
    </row>
    <row r="171" spans="1:7" s="155" customFormat="1" ht="18.75">
      <c r="A171" s="151">
        <v>11</v>
      </c>
      <c r="B171" s="152" t="s">
        <v>298</v>
      </c>
      <c r="C171" s="153" t="s">
        <v>287</v>
      </c>
      <c r="D171" s="153">
        <v>0.04</v>
      </c>
      <c r="E171" s="159">
        <f>2640000/1000</f>
        <v>2640</v>
      </c>
      <c r="F171" s="157">
        <f t="shared" si="7"/>
        <v>105.60000000000001</v>
      </c>
      <c r="G171" s="327"/>
    </row>
    <row r="172" spans="1:7" s="155" customFormat="1" ht="18.75">
      <c r="A172" s="151">
        <v>12</v>
      </c>
      <c r="B172" s="152" t="s">
        <v>299</v>
      </c>
      <c r="C172" s="153" t="s">
        <v>287</v>
      </c>
      <c r="D172" s="153">
        <v>1E-3</v>
      </c>
      <c r="E172" s="159">
        <v>1600</v>
      </c>
      <c r="F172" s="157">
        <f t="shared" si="7"/>
        <v>1.6</v>
      </c>
      <c r="G172" s="327"/>
    </row>
    <row r="173" spans="1:7" s="155" customFormat="1" ht="18.75">
      <c r="A173" s="151">
        <v>13</v>
      </c>
      <c r="B173" s="152" t="s">
        <v>300</v>
      </c>
      <c r="C173" s="153" t="s">
        <v>289</v>
      </c>
      <c r="D173" s="153">
        <v>1</v>
      </c>
      <c r="E173" s="159">
        <v>2460</v>
      </c>
      <c r="F173" s="157">
        <f t="shared" si="7"/>
        <v>2460</v>
      </c>
      <c r="G173" s="327"/>
    </row>
    <row r="174" spans="1:7" s="155" customFormat="1" ht="18.75">
      <c r="A174" s="151">
        <v>14</v>
      </c>
      <c r="B174" s="152" t="s">
        <v>301</v>
      </c>
      <c r="C174" s="153" t="s">
        <v>289</v>
      </c>
      <c r="D174" s="153">
        <v>2</v>
      </c>
      <c r="E174" s="159">
        <f>90000/1000</f>
        <v>90</v>
      </c>
      <c r="F174" s="157">
        <f t="shared" si="7"/>
        <v>180</v>
      </c>
      <c r="G174" s="327"/>
    </row>
    <row r="175" spans="1:7" s="155" customFormat="1" ht="18.75">
      <c r="A175" s="151">
        <v>15</v>
      </c>
      <c r="B175" s="152" t="s">
        <v>302</v>
      </c>
      <c r="C175" s="153" t="s">
        <v>287</v>
      </c>
      <c r="D175" s="153">
        <v>0.5</v>
      </c>
      <c r="E175" s="159">
        <f>165000/1000</f>
        <v>165</v>
      </c>
      <c r="F175" s="157">
        <f t="shared" si="7"/>
        <v>82.5</v>
      </c>
      <c r="G175" s="327"/>
    </row>
    <row r="176" spans="1:7" s="155" customFormat="1" ht="18.75">
      <c r="A176" s="151">
        <v>16</v>
      </c>
      <c r="B176" s="152" t="s">
        <v>303</v>
      </c>
      <c r="C176" s="153" t="s">
        <v>289</v>
      </c>
      <c r="D176" s="153">
        <v>60</v>
      </c>
      <c r="E176" s="159">
        <f>70000/500</f>
        <v>140</v>
      </c>
      <c r="F176" s="157">
        <f t="shared" si="7"/>
        <v>8400</v>
      </c>
      <c r="G176" s="327"/>
    </row>
    <row r="177" spans="1:7" s="155" customFormat="1" ht="18.75">
      <c r="A177" s="151">
        <v>17</v>
      </c>
      <c r="B177" s="152" t="s">
        <v>304</v>
      </c>
      <c r="C177" s="153" t="s">
        <v>287</v>
      </c>
      <c r="D177" s="153">
        <v>6</v>
      </c>
      <c r="E177" s="159">
        <f>170000/500</f>
        <v>340</v>
      </c>
      <c r="F177" s="157">
        <f t="shared" si="7"/>
        <v>2040</v>
      </c>
      <c r="G177" s="327"/>
    </row>
    <row r="178" spans="1:7" s="155" customFormat="1" ht="18.75">
      <c r="A178" s="151">
        <v>18</v>
      </c>
      <c r="B178" s="152" t="s">
        <v>305</v>
      </c>
      <c r="C178" s="153" t="s">
        <v>287</v>
      </c>
      <c r="D178" s="153">
        <v>0.02</v>
      </c>
      <c r="E178" s="159">
        <f>310000/25</f>
        <v>12400</v>
      </c>
      <c r="F178" s="157">
        <f t="shared" si="7"/>
        <v>248</v>
      </c>
      <c r="G178" s="327"/>
    </row>
    <row r="179" spans="1:7" s="155" customFormat="1" ht="18.75">
      <c r="A179" s="151">
        <v>19</v>
      </c>
      <c r="B179" s="152" t="s">
        <v>306</v>
      </c>
      <c r="C179" s="153" t="s">
        <v>287</v>
      </c>
      <c r="D179" s="153">
        <v>0.01</v>
      </c>
      <c r="E179" s="159">
        <f>190000/25</f>
        <v>7600</v>
      </c>
      <c r="F179" s="157">
        <f t="shared" si="7"/>
        <v>76</v>
      </c>
      <c r="G179" s="327"/>
    </row>
    <row r="180" spans="1:7" s="155" customFormat="1" ht="18.75">
      <c r="A180" s="151">
        <v>20</v>
      </c>
      <c r="B180" s="152" t="s">
        <v>307</v>
      </c>
      <c r="C180" s="153" t="s">
        <v>289</v>
      </c>
      <c r="D180" s="153">
        <v>200</v>
      </c>
      <c r="E180" s="159">
        <f>130000/1000</f>
        <v>130</v>
      </c>
      <c r="F180" s="157">
        <f t="shared" si="7"/>
        <v>26000</v>
      </c>
      <c r="G180" s="327"/>
    </row>
    <row r="181" spans="1:7" s="155" customFormat="1" ht="18.75">
      <c r="A181" s="151">
        <v>21</v>
      </c>
      <c r="B181" s="152" t="s">
        <v>308</v>
      </c>
      <c r="C181" s="153" t="s">
        <v>287</v>
      </c>
      <c r="D181" s="153">
        <v>60</v>
      </c>
      <c r="E181" s="159">
        <f>65000/1000</f>
        <v>65</v>
      </c>
      <c r="F181" s="157">
        <f t="shared" si="7"/>
        <v>3900</v>
      </c>
      <c r="G181" s="327"/>
    </row>
    <row r="182" spans="1:7" s="155" customFormat="1" ht="18.75">
      <c r="A182" s="151">
        <v>22</v>
      </c>
      <c r="B182" s="152" t="s">
        <v>309</v>
      </c>
      <c r="C182" s="153" t="s">
        <v>287</v>
      </c>
      <c r="D182" s="153">
        <v>10</v>
      </c>
      <c r="E182" s="159">
        <f>170000/500</f>
        <v>340</v>
      </c>
      <c r="F182" s="157">
        <f t="shared" si="7"/>
        <v>3400</v>
      </c>
      <c r="G182" s="327"/>
    </row>
    <row r="183" spans="1:7" s="155" customFormat="1" ht="19.5">
      <c r="A183" s="151">
        <v>23</v>
      </c>
      <c r="B183" s="152" t="s">
        <v>456</v>
      </c>
      <c r="C183" s="153" t="s">
        <v>287</v>
      </c>
      <c r="D183" s="153">
        <v>20</v>
      </c>
      <c r="E183" s="159">
        <f>270000/500</f>
        <v>540</v>
      </c>
      <c r="F183" s="157">
        <f t="shared" si="7"/>
        <v>10800</v>
      </c>
      <c r="G183" s="327"/>
    </row>
    <row r="184" spans="1:7" s="155" customFormat="1" ht="18.75">
      <c r="A184" s="151">
        <v>24</v>
      </c>
      <c r="B184" s="152" t="s">
        <v>310</v>
      </c>
      <c r="C184" s="153" t="s">
        <v>287</v>
      </c>
      <c r="D184" s="153">
        <v>0.02</v>
      </c>
      <c r="E184" s="159">
        <f>510000/25</f>
        <v>20400</v>
      </c>
      <c r="F184" s="157">
        <f t="shared" si="7"/>
        <v>408</v>
      </c>
      <c r="G184" s="327"/>
    </row>
    <row r="185" spans="1:7" s="155" customFormat="1" ht="18.75">
      <c r="A185" s="151">
        <v>25</v>
      </c>
      <c r="B185" s="152" t="s">
        <v>311</v>
      </c>
      <c r="C185" s="153" t="s">
        <v>287</v>
      </c>
      <c r="D185" s="153">
        <v>1.4</v>
      </c>
      <c r="E185" s="159">
        <f>990000/100</f>
        <v>9900</v>
      </c>
      <c r="F185" s="157">
        <f t="shared" si="7"/>
        <v>13860</v>
      </c>
      <c r="G185" s="327"/>
    </row>
    <row r="186" spans="1:7" s="155" customFormat="1" ht="19.5">
      <c r="A186" s="151">
        <v>26</v>
      </c>
      <c r="B186" s="152" t="s">
        <v>457</v>
      </c>
      <c r="C186" s="153" t="s">
        <v>287</v>
      </c>
      <c r="D186" s="153">
        <v>2</v>
      </c>
      <c r="E186" s="159">
        <f>310000/500</f>
        <v>620</v>
      </c>
      <c r="F186" s="157">
        <f t="shared" si="7"/>
        <v>1240</v>
      </c>
      <c r="G186" s="327"/>
    </row>
    <row r="187" spans="1:7" s="155" customFormat="1">
      <c r="A187" s="151">
        <v>27</v>
      </c>
      <c r="B187" s="152" t="s">
        <v>312</v>
      </c>
      <c r="C187" s="153" t="s">
        <v>313</v>
      </c>
      <c r="D187" s="153">
        <v>0.01</v>
      </c>
      <c r="E187" s="158">
        <f>65000/1000</f>
        <v>65</v>
      </c>
      <c r="F187" s="157">
        <f t="shared" si="7"/>
        <v>0.65</v>
      </c>
      <c r="G187" s="327"/>
    </row>
    <row r="188" spans="1:7" s="155" customFormat="1" ht="18.75">
      <c r="A188" s="151">
        <v>28</v>
      </c>
      <c r="B188" s="152" t="s">
        <v>314</v>
      </c>
      <c r="C188" s="153" t="s">
        <v>289</v>
      </c>
      <c r="D188" s="153">
        <v>5</v>
      </c>
      <c r="E188" s="159">
        <f>2500000/500</f>
        <v>5000</v>
      </c>
      <c r="F188" s="157">
        <f t="shared" si="7"/>
        <v>25000</v>
      </c>
      <c r="G188" s="327"/>
    </row>
    <row r="189" spans="1:7" s="155" customFormat="1" ht="18.75">
      <c r="A189" s="151">
        <v>29</v>
      </c>
      <c r="B189" s="152" t="s">
        <v>315</v>
      </c>
      <c r="C189" s="153" t="s">
        <v>287</v>
      </c>
      <c r="D189" s="153">
        <v>0.5</v>
      </c>
      <c r="E189" s="159">
        <f>1380000/25</f>
        <v>55200</v>
      </c>
      <c r="F189" s="157">
        <f t="shared" si="7"/>
        <v>27600</v>
      </c>
      <c r="G189" s="328"/>
    </row>
    <row r="190" spans="1:7" s="155" customFormat="1">
      <c r="A190" s="311" t="s">
        <v>9</v>
      </c>
      <c r="B190" s="311"/>
      <c r="C190" s="165"/>
      <c r="D190" s="165"/>
      <c r="E190" s="166"/>
      <c r="F190" s="167">
        <f>SUM(F161:F189)</f>
        <v>174667.34999999998</v>
      </c>
      <c r="G190" s="168"/>
    </row>
    <row r="191" spans="1:7" s="155" customFormat="1">
      <c r="A191" s="198" t="s">
        <v>83</v>
      </c>
      <c r="B191" s="164" t="s">
        <v>214</v>
      </c>
      <c r="C191" s="165"/>
      <c r="D191" s="165"/>
      <c r="E191" s="166"/>
      <c r="F191" s="167"/>
      <c r="G191" s="168"/>
    </row>
    <row r="192" spans="1:7" s="155" customFormat="1">
      <c r="A192" s="151">
        <v>1</v>
      </c>
      <c r="B192" s="152" t="s">
        <v>316</v>
      </c>
      <c r="C192" s="153" t="s">
        <v>250</v>
      </c>
      <c r="D192" s="153">
        <v>1.9E-3</v>
      </c>
      <c r="E192" s="158">
        <v>650000</v>
      </c>
      <c r="F192" s="157">
        <f t="shared" ref="F192:F207" si="8">D192*E192</f>
        <v>1235</v>
      </c>
      <c r="G192" s="323" t="s">
        <v>493</v>
      </c>
    </row>
    <row r="193" spans="1:7" s="155" customFormat="1">
      <c r="A193" s="151">
        <v>2</v>
      </c>
      <c r="B193" s="152" t="s">
        <v>317</v>
      </c>
      <c r="C193" s="153" t="s">
        <v>250</v>
      </c>
      <c r="D193" s="153">
        <v>1.9E-3</v>
      </c>
      <c r="E193" s="158">
        <v>200000</v>
      </c>
      <c r="F193" s="157">
        <f t="shared" si="8"/>
        <v>380</v>
      </c>
      <c r="G193" s="324"/>
    </row>
    <row r="194" spans="1:7" s="155" customFormat="1">
      <c r="A194" s="151">
        <v>3</v>
      </c>
      <c r="B194" s="152" t="s">
        <v>318</v>
      </c>
      <c r="C194" s="153" t="s">
        <v>250</v>
      </c>
      <c r="D194" s="153">
        <v>1.9E-3</v>
      </c>
      <c r="E194" s="158">
        <v>300000</v>
      </c>
      <c r="F194" s="157">
        <f t="shared" si="8"/>
        <v>570</v>
      </c>
      <c r="G194" s="324"/>
    </row>
    <row r="195" spans="1:7" s="155" customFormat="1">
      <c r="A195" s="151">
        <v>4</v>
      </c>
      <c r="B195" s="152" t="s">
        <v>319</v>
      </c>
      <c r="C195" s="153" t="s">
        <v>250</v>
      </c>
      <c r="D195" s="153">
        <v>5.9999999999999995E-4</v>
      </c>
      <c r="E195" s="158">
        <v>410000</v>
      </c>
      <c r="F195" s="157">
        <f t="shared" si="8"/>
        <v>245.99999999999997</v>
      </c>
      <c r="G195" s="324"/>
    </row>
    <row r="196" spans="1:7" s="155" customFormat="1">
      <c r="A196" s="151">
        <v>5</v>
      </c>
      <c r="B196" s="152" t="s">
        <v>320</v>
      </c>
      <c r="C196" s="153" t="s">
        <v>250</v>
      </c>
      <c r="D196" s="153">
        <v>5.9999999999999995E-4</v>
      </c>
      <c r="E196" s="158">
        <v>290000</v>
      </c>
      <c r="F196" s="157">
        <f t="shared" si="8"/>
        <v>173.99999999999997</v>
      </c>
      <c r="G196" s="324"/>
    </row>
    <row r="197" spans="1:7" s="155" customFormat="1">
      <c r="A197" s="151">
        <v>6</v>
      </c>
      <c r="B197" s="152" t="s">
        <v>321</v>
      </c>
      <c r="C197" s="153" t="s">
        <v>250</v>
      </c>
      <c r="D197" s="153">
        <v>5.9999999999999995E-4</v>
      </c>
      <c r="E197" s="158">
        <v>160000</v>
      </c>
      <c r="F197" s="157">
        <f t="shared" si="8"/>
        <v>95.999999999999986</v>
      </c>
      <c r="G197" s="324"/>
    </row>
    <row r="198" spans="1:7" s="155" customFormat="1">
      <c r="A198" s="151">
        <v>7</v>
      </c>
      <c r="B198" s="152" t="s">
        <v>322</v>
      </c>
      <c r="C198" s="153" t="s">
        <v>250</v>
      </c>
      <c r="D198" s="153">
        <v>5.9999999999999995E-4</v>
      </c>
      <c r="E198" s="158">
        <v>66000</v>
      </c>
      <c r="F198" s="157">
        <f t="shared" si="8"/>
        <v>39.599999999999994</v>
      </c>
      <c r="G198" s="324"/>
    </row>
    <row r="199" spans="1:7" s="155" customFormat="1">
      <c r="A199" s="151">
        <v>8</v>
      </c>
      <c r="B199" s="152" t="s">
        <v>323</v>
      </c>
      <c r="C199" s="153" t="s">
        <v>250</v>
      </c>
      <c r="D199" s="153">
        <v>1.9E-3</v>
      </c>
      <c r="E199" s="158">
        <v>25000</v>
      </c>
      <c r="F199" s="157">
        <f t="shared" si="8"/>
        <v>47.5</v>
      </c>
      <c r="G199" s="324"/>
    </row>
    <row r="200" spans="1:7" s="155" customFormat="1">
      <c r="A200" s="151">
        <v>9</v>
      </c>
      <c r="B200" s="152" t="s">
        <v>324</v>
      </c>
      <c r="C200" s="153" t="s">
        <v>250</v>
      </c>
      <c r="D200" s="153">
        <v>1.9E-3</v>
      </c>
      <c r="E200" s="158">
        <v>40000</v>
      </c>
      <c r="F200" s="157">
        <f t="shared" si="8"/>
        <v>76</v>
      </c>
      <c r="G200" s="324"/>
    </row>
    <row r="201" spans="1:7" s="155" customFormat="1">
      <c r="A201" s="151">
        <v>10</v>
      </c>
      <c r="B201" s="152" t="s">
        <v>325</v>
      </c>
      <c r="C201" s="153" t="s">
        <v>250</v>
      </c>
      <c r="D201" s="153">
        <v>1.9E-3</v>
      </c>
      <c r="E201" s="158">
        <v>100000</v>
      </c>
      <c r="F201" s="157">
        <f t="shared" si="8"/>
        <v>190</v>
      </c>
      <c r="G201" s="324"/>
    </row>
    <row r="202" spans="1:7" s="155" customFormat="1">
      <c r="A202" s="151">
        <v>11</v>
      </c>
      <c r="B202" s="152" t="s">
        <v>326</v>
      </c>
      <c r="C202" s="153" t="s">
        <v>250</v>
      </c>
      <c r="D202" s="153">
        <v>1.9E-3</v>
      </c>
      <c r="E202" s="158">
        <v>210000</v>
      </c>
      <c r="F202" s="157">
        <f t="shared" si="8"/>
        <v>399</v>
      </c>
      <c r="G202" s="324"/>
    </row>
    <row r="203" spans="1:7" s="155" customFormat="1">
      <c r="A203" s="151">
        <v>12</v>
      </c>
      <c r="B203" s="152" t="s">
        <v>327</v>
      </c>
      <c r="C203" s="153" t="s">
        <v>250</v>
      </c>
      <c r="D203" s="153">
        <v>1.9E-3</v>
      </c>
      <c r="E203" s="158">
        <v>300000</v>
      </c>
      <c r="F203" s="157">
        <f t="shared" si="8"/>
        <v>570</v>
      </c>
      <c r="G203" s="324"/>
    </row>
    <row r="204" spans="1:7" s="155" customFormat="1">
      <c r="A204" s="151">
        <v>13</v>
      </c>
      <c r="B204" s="152" t="s">
        <v>328</v>
      </c>
      <c r="C204" s="153" t="s">
        <v>250</v>
      </c>
      <c r="D204" s="153">
        <v>1.9E-3</v>
      </c>
      <c r="E204" s="158">
        <v>25000</v>
      </c>
      <c r="F204" s="157">
        <f t="shared" si="8"/>
        <v>47.5</v>
      </c>
      <c r="G204" s="324"/>
    </row>
    <row r="205" spans="1:7" s="155" customFormat="1">
      <c r="A205" s="151">
        <v>14</v>
      </c>
      <c r="B205" s="152" t="s">
        <v>329</v>
      </c>
      <c r="C205" s="153" t="s">
        <v>250</v>
      </c>
      <c r="D205" s="153">
        <v>1.9E-3</v>
      </c>
      <c r="E205" s="158">
        <v>55000</v>
      </c>
      <c r="F205" s="157">
        <f t="shared" si="8"/>
        <v>104.5</v>
      </c>
      <c r="G205" s="324"/>
    </row>
    <row r="206" spans="1:7" s="155" customFormat="1">
      <c r="A206" s="151">
        <v>15</v>
      </c>
      <c r="B206" s="152" t="s">
        <v>330</v>
      </c>
      <c r="C206" s="153" t="s">
        <v>250</v>
      </c>
      <c r="D206" s="153">
        <v>5.9999999999999995E-4</v>
      </c>
      <c r="E206" s="158">
        <v>1080000</v>
      </c>
      <c r="F206" s="157">
        <f t="shared" si="8"/>
        <v>648</v>
      </c>
      <c r="G206" s="324"/>
    </row>
    <row r="207" spans="1:7" s="155" customFormat="1">
      <c r="A207" s="151">
        <v>16</v>
      </c>
      <c r="B207" s="152" t="s">
        <v>331</v>
      </c>
      <c r="C207" s="153" t="s">
        <v>135</v>
      </c>
      <c r="D207" s="153">
        <v>5.0000000000000001E-4</v>
      </c>
      <c r="E207" s="158">
        <v>2200000</v>
      </c>
      <c r="F207" s="157">
        <f t="shared" si="8"/>
        <v>1100</v>
      </c>
      <c r="G207" s="325"/>
    </row>
    <row r="208" spans="1:7" s="155" customFormat="1">
      <c r="A208" s="311" t="s">
        <v>9</v>
      </c>
      <c r="B208" s="311"/>
      <c r="C208" s="165"/>
      <c r="D208" s="165"/>
      <c r="E208" s="166"/>
      <c r="F208" s="167">
        <f>SUM(F192:F207)</f>
        <v>5923.1</v>
      </c>
      <c r="G208" s="168"/>
    </row>
    <row r="209" spans="1:7" s="155" customFormat="1">
      <c r="A209" s="198" t="s">
        <v>164</v>
      </c>
      <c r="B209" s="164" t="s">
        <v>227</v>
      </c>
      <c r="C209" s="165"/>
      <c r="D209" s="165"/>
      <c r="E209" s="166"/>
      <c r="F209" s="167"/>
      <c r="G209" s="168"/>
    </row>
    <row r="210" spans="1:7" s="155" customFormat="1">
      <c r="A210" s="151">
        <v>1</v>
      </c>
      <c r="B210" s="152" t="s">
        <v>230</v>
      </c>
      <c r="C210" s="153" t="s">
        <v>231</v>
      </c>
      <c r="D210" s="153">
        <v>12</v>
      </c>
      <c r="E210" s="154">
        <v>2134</v>
      </c>
      <c r="F210" s="156">
        <f>E210*D210</f>
        <v>25608</v>
      </c>
      <c r="G210" s="168"/>
    </row>
    <row r="211" spans="1:7" s="155" customFormat="1">
      <c r="A211" s="151">
        <v>2</v>
      </c>
      <c r="B211" s="152" t="s">
        <v>232</v>
      </c>
      <c r="C211" s="153" t="s">
        <v>229</v>
      </c>
      <c r="D211" s="153">
        <v>200</v>
      </c>
      <c r="E211" s="169">
        <v>12.3</v>
      </c>
      <c r="F211" s="156">
        <f>E211*D211</f>
        <v>2460</v>
      </c>
      <c r="G211" s="168"/>
    </row>
    <row r="212" spans="1:7" s="155" customFormat="1">
      <c r="A212" s="311" t="s">
        <v>9</v>
      </c>
      <c r="B212" s="311"/>
      <c r="C212" s="165"/>
      <c r="D212" s="165"/>
      <c r="E212" s="166"/>
      <c r="F212" s="167">
        <f>SUM(F210:F211)</f>
        <v>28068</v>
      </c>
      <c r="G212" s="168"/>
    </row>
    <row r="213" spans="1:7" s="155" customFormat="1">
      <c r="A213" s="315" t="s">
        <v>332</v>
      </c>
      <c r="B213" s="315"/>
      <c r="C213" s="315"/>
      <c r="D213" s="315"/>
      <c r="E213" s="315"/>
      <c r="F213" s="315"/>
      <c r="G213" s="168"/>
    </row>
    <row r="214" spans="1:7" s="155" customFormat="1" ht="33">
      <c r="A214" s="165" t="s">
        <v>204</v>
      </c>
      <c r="B214" s="165" t="s">
        <v>205</v>
      </c>
      <c r="C214" s="165" t="s">
        <v>206</v>
      </c>
      <c r="D214" s="165" t="s">
        <v>188</v>
      </c>
      <c r="E214" s="170" t="s">
        <v>452</v>
      </c>
      <c r="F214" s="171" t="s">
        <v>453</v>
      </c>
      <c r="G214" s="168"/>
    </row>
    <row r="215" spans="1:7" s="176" customFormat="1">
      <c r="A215" s="172" t="s">
        <v>208</v>
      </c>
      <c r="B215" s="173" t="s">
        <v>209</v>
      </c>
      <c r="C215" s="172" t="s">
        <v>210</v>
      </c>
      <c r="D215" s="173" t="s">
        <v>211</v>
      </c>
      <c r="E215" s="172" t="s">
        <v>212</v>
      </c>
      <c r="F215" s="174" t="s">
        <v>213</v>
      </c>
      <c r="G215" s="175"/>
    </row>
    <row r="216" spans="1:7" s="155" customFormat="1">
      <c r="A216" s="198" t="s">
        <v>44</v>
      </c>
      <c r="B216" s="164" t="s">
        <v>285</v>
      </c>
      <c r="C216" s="165"/>
      <c r="D216" s="165"/>
      <c r="E216" s="170"/>
      <c r="F216" s="171"/>
      <c r="G216" s="168"/>
    </row>
    <row r="217" spans="1:7" s="155" customFormat="1" ht="19.5">
      <c r="A217" s="151">
        <v>1</v>
      </c>
      <c r="B217" s="152" t="s">
        <v>458</v>
      </c>
      <c r="C217" s="153" t="s">
        <v>289</v>
      </c>
      <c r="D217" s="153">
        <v>2</v>
      </c>
      <c r="E217" s="159">
        <f>2460000/1000</f>
        <v>2460</v>
      </c>
      <c r="F217" s="157">
        <f t="shared" ref="F217:F224" si="9">D217*E217</f>
        <v>4920</v>
      </c>
      <c r="G217" s="323" t="s">
        <v>493</v>
      </c>
    </row>
    <row r="218" spans="1:7" s="155" customFormat="1" ht="19.5">
      <c r="A218" s="151">
        <v>2</v>
      </c>
      <c r="B218" s="152" t="s">
        <v>459</v>
      </c>
      <c r="C218" s="153" t="s">
        <v>289</v>
      </c>
      <c r="D218" s="153">
        <v>5</v>
      </c>
      <c r="E218" s="159">
        <f>2160000/2500</f>
        <v>864</v>
      </c>
      <c r="F218" s="157">
        <f t="shared" si="9"/>
        <v>4320</v>
      </c>
      <c r="G218" s="324"/>
    </row>
    <row r="219" spans="1:7" s="155" customFormat="1" ht="18.75">
      <c r="A219" s="151">
        <v>3</v>
      </c>
      <c r="B219" s="152" t="s">
        <v>333</v>
      </c>
      <c r="C219" s="153" t="s">
        <v>289</v>
      </c>
      <c r="D219" s="153">
        <v>5</v>
      </c>
      <c r="E219" s="159">
        <f>990000/1000</f>
        <v>990</v>
      </c>
      <c r="F219" s="157">
        <f t="shared" si="9"/>
        <v>4950</v>
      </c>
      <c r="G219" s="324"/>
    </row>
    <row r="220" spans="1:7" s="155" customFormat="1" ht="19.5">
      <c r="A220" s="151">
        <v>4</v>
      </c>
      <c r="B220" s="152" t="s">
        <v>460</v>
      </c>
      <c r="C220" s="153" t="s">
        <v>289</v>
      </c>
      <c r="D220" s="153">
        <v>2</v>
      </c>
      <c r="E220" s="159">
        <f>1130000/1000</f>
        <v>1130</v>
      </c>
      <c r="F220" s="157">
        <f t="shared" si="9"/>
        <v>2260</v>
      </c>
      <c r="G220" s="324"/>
    </row>
    <row r="221" spans="1:7" s="155" customFormat="1" ht="19.5">
      <c r="A221" s="151">
        <v>5</v>
      </c>
      <c r="B221" s="152" t="s">
        <v>461</v>
      </c>
      <c r="C221" s="153" t="s">
        <v>334</v>
      </c>
      <c r="D221" s="153">
        <v>20</v>
      </c>
      <c r="E221" s="187">
        <f>1750000/500000</f>
        <v>3.5</v>
      </c>
      <c r="F221" s="157">
        <f t="shared" si="9"/>
        <v>70</v>
      </c>
      <c r="G221" s="324"/>
    </row>
    <row r="222" spans="1:7" s="160" customFormat="1" ht="33">
      <c r="A222" s="151">
        <v>6</v>
      </c>
      <c r="B222" s="152" t="s">
        <v>335</v>
      </c>
      <c r="C222" s="153" t="s">
        <v>289</v>
      </c>
      <c r="D222" s="153">
        <v>0.1</v>
      </c>
      <c r="E222" s="178">
        <f>1360000/100</f>
        <v>13600</v>
      </c>
      <c r="F222" s="157">
        <f t="shared" si="9"/>
        <v>1360</v>
      </c>
      <c r="G222" s="324"/>
    </row>
    <row r="223" spans="1:7" s="155" customFormat="1" ht="18.75">
      <c r="A223" s="151">
        <v>7</v>
      </c>
      <c r="B223" s="152" t="s">
        <v>336</v>
      </c>
      <c r="C223" s="153" t="s">
        <v>337</v>
      </c>
      <c r="D223" s="153">
        <v>0.02</v>
      </c>
      <c r="E223" s="159">
        <v>1200000</v>
      </c>
      <c r="F223" s="157">
        <f t="shared" si="9"/>
        <v>24000</v>
      </c>
      <c r="G223" s="324"/>
    </row>
    <row r="224" spans="1:7" s="155" customFormat="1" ht="18.75">
      <c r="A224" s="151">
        <v>8</v>
      </c>
      <c r="B224" s="152" t="s">
        <v>338</v>
      </c>
      <c r="C224" s="153" t="s">
        <v>337</v>
      </c>
      <c r="D224" s="153">
        <v>0.02</v>
      </c>
      <c r="E224" s="159">
        <v>900000</v>
      </c>
      <c r="F224" s="157">
        <f t="shared" si="9"/>
        <v>18000</v>
      </c>
      <c r="G224" s="325"/>
    </row>
    <row r="225" spans="1:7" s="155" customFormat="1">
      <c r="A225" s="311" t="s">
        <v>9</v>
      </c>
      <c r="B225" s="311"/>
      <c r="C225" s="165"/>
      <c r="D225" s="165"/>
      <c r="E225" s="166"/>
      <c r="F225" s="167">
        <f>SUM(F217:F224)</f>
        <v>59880</v>
      </c>
      <c r="G225" s="168"/>
    </row>
    <row r="226" spans="1:7" s="155" customFormat="1">
      <c r="A226" s="198" t="s">
        <v>83</v>
      </c>
      <c r="B226" s="164" t="s">
        <v>214</v>
      </c>
      <c r="C226" s="165"/>
      <c r="D226" s="165"/>
      <c r="E226" s="166"/>
      <c r="F226" s="167"/>
      <c r="G226" s="168"/>
    </row>
    <row r="227" spans="1:7" s="155" customFormat="1">
      <c r="A227" s="151">
        <v>1</v>
      </c>
      <c r="B227" s="152" t="s">
        <v>339</v>
      </c>
      <c r="C227" s="153" t="s">
        <v>250</v>
      </c>
      <c r="D227" s="153">
        <v>1.9E-3</v>
      </c>
      <c r="E227" s="158">
        <v>650000</v>
      </c>
      <c r="F227" s="157">
        <f>E227*D227</f>
        <v>1235</v>
      </c>
      <c r="G227" s="323" t="s">
        <v>493</v>
      </c>
    </row>
    <row r="228" spans="1:7" s="155" customFormat="1">
      <c r="A228" s="151">
        <v>2</v>
      </c>
      <c r="B228" s="152" t="s">
        <v>340</v>
      </c>
      <c r="C228" s="153" t="s">
        <v>250</v>
      </c>
      <c r="D228" s="153">
        <v>1.9E-3</v>
      </c>
      <c r="E228" s="158">
        <v>200000</v>
      </c>
      <c r="F228" s="157">
        <f>E228*D228</f>
        <v>380</v>
      </c>
      <c r="G228" s="324"/>
    </row>
    <row r="229" spans="1:7" s="155" customFormat="1" ht="18.75">
      <c r="A229" s="151">
        <v>3</v>
      </c>
      <c r="B229" s="152" t="s">
        <v>341</v>
      </c>
      <c r="C229" s="153" t="s">
        <v>250</v>
      </c>
      <c r="D229" s="153">
        <v>5.9999999999999995E-4</v>
      </c>
      <c r="E229" s="159">
        <v>290000</v>
      </c>
      <c r="F229" s="157">
        <f>E229*D229</f>
        <v>173.99999999999997</v>
      </c>
      <c r="G229" s="324"/>
    </row>
    <row r="230" spans="1:7" s="155" customFormat="1" ht="18.75">
      <c r="A230" s="151">
        <v>4</v>
      </c>
      <c r="B230" s="152" t="s">
        <v>318</v>
      </c>
      <c r="C230" s="153" t="s">
        <v>250</v>
      </c>
      <c r="D230" s="153">
        <v>5.9999999999999995E-4</v>
      </c>
      <c r="E230" s="159">
        <v>300000</v>
      </c>
      <c r="F230" s="157">
        <f t="shared" ref="F230:F242" si="10">E230*D230</f>
        <v>179.99999999999997</v>
      </c>
      <c r="G230" s="324"/>
    </row>
    <row r="231" spans="1:7" s="155" customFormat="1" ht="18.75">
      <c r="A231" s="151">
        <v>5</v>
      </c>
      <c r="B231" s="152" t="s">
        <v>342</v>
      </c>
      <c r="C231" s="153" t="s">
        <v>250</v>
      </c>
      <c r="D231" s="153">
        <v>5.9999999999999995E-4</v>
      </c>
      <c r="E231" s="159">
        <v>350000</v>
      </c>
      <c r="F231" s="157">
        <f t="shared" si="10"/>
        <v>209.99999999999997</v>
      </c>
      <c r="G231" s="324"/>
    </row>
    <row r="232" spans="1:7" s="155" customFormat="1" ht="18.75">
      <c r="A232" s="151">
        <v>6</v>
      </c>
      <c r="B232" s="152" t="s">
        <v>321</v>
      </c>
      <c r="C232" s="153" t="s">
        <v>250</v>
      </c>
      <c r="D232" s="153">
        <v>4.0000000000000002E-4</v>
      </c>
      <c r="E232" s="159">
        <v>160000</v>
      </c>
      <c r="F232" s="157">
        <f t="shared" si="10"/>
        <v>64</v>
      </c>
      <c r="G232" s="324"/>
    </row>
    <row r="233" spans="1:7" s="155" customFormat="1">
      <c r="A233" s="151">
        <v>7</v>
      </c>
      <c r="B233" s="152" t="s">
        <v>323</v>
      </c>
      <c r="C233" s="153" t="s">
        <v>250</v>
      </c>
      <c r="D233" s="153">
        <v>1.9E-3</v>
      </c>
      <c r="E233" s="158">
        <v>25000</v>
      </c>
      <c r="F233" s="157">
        <f t="shared" si="10"/>
        <v>47.5</v>
      </c>
      <c r="G233" s="324"/>
    </row>
    <row r="234" spans="1:7" s="155" customFormat="1">
      <c r="A234" s="151">
        <v>8</v>
      </c>
      <c r="B234" s="152" t="s">
        <v>324</v>
      </c>
      <c r="C234" s="153" t="s">
        <v>250</v>
      </c>
      <c r="D234" s="153">
        <v>5.0000000000000001E-4</v>
      </c>
      <c r="E234" s="158">
        <v>40000</v>
      </c>
      <c r="F234" s="157">
        <f t="shared" si="10"/>
        <v>20</v>
      </c>
      <c r="G234" s="324"/>
    </row>
    <row r="235" spans="1:7" s="155" customFormat="1">
      <c r="A235" s="151">
        <v>9</v>
      </c>
      <c r="B235" s="152" t="s">
        <v>325</v>
      </c>
      <c r="C235" s="153" t="s">
        <v>250</v>
      </c>
      <c r="D235" s="153">
        <v>5.0000000000000001E-4</v>
      </c>
      <c r="E235" s="158">
        <v>100000</v>
      </c>
      <c r="F235" s="157">
        <f t="shared" si="10"/>
        <v>50</v>
      </c>
      <c r="G235" s="324"/>
    </row>
    <row r="236" spans="1:7" s="155" customFormat="1" ht="18.75">
      <c r="A236" s="151">
        <v>10</v>
      </c>
      <c r="B236" s="152" t="s">
        <v>326</v>
      </c>
      <c r="C236" s="153" t="s">
        <v>250</v>
      </c>
      <c r="D236" s="153">
        <v>5.0000000000000001E-4</v>
      </c>
      <c r="E236" s="159">
        <v>210000</v>
      </c>
      <c r="F236" s="157">
        <f t="shared" si="10"/>
        <v>105</v>
      </c>
      <c r="G236" s="324"/>
    </row>
    <row r="237" spans="1:7" s="155" customFormat="1">
      <c r="A237" s="151">
        <v>11</v>
      </c>
      <c r="B237" s="152" t="s">
        <v>327</v>
      </c>
      <c r="C237" s="153" t="s">
        <v>250</v>
      </c>
      <c r="D237" s="153">
        <v>5.0000000000000001E-4</v>
      </c>
      <c r="E237" s="158">
        <v>300000</v>
      </c>
      <c r="F237" s="157">
        <f t="shared" si="10"/>
        <v>150</v>
      </c>
      <c r="G237" s="324"/>
    </row>
    <row r="238" spans="1:7" s="155" customFormat="1">
      <c r="A238" s="151">
        <v>12</v>
      </c>
      <c r="B238" s="152" t="s">
        <v>343</v>
      </c>
      <c r="C238" s="153" t="s">
        <v>250</v>
      </c>
      <c r="D238" s="153">
        <v>8.9999999999999998E-4</v>
      </c>
      <c r="E238" s="158">
        <v>1080000</v>
      </c>
      <c r="F238" s="157">
        <f t="shared" si="10"/>
        <v>972</v>
      </c>
      <c r="G238" s="324"/>
    </row>
    <row r="239" spans="1:7" s="155" customFormat="1">
      <c r="A239" s="151">
        <v>13</v>
      </c>
      <c r="B239" s="152" t="s">
        <v>322</v>
      </c>
      <c r="C239" s="153" t="s">
        <v>250</v>
      </c>
      <c r="D239" s="153">
        <v>8.9999999999999998E-4</v>
      </c>
      <c r="E239" s="158">
        <v>66000</v>
      </c>
      <c r="F239" s="157">
        <f t="shared" si="10"/>
        <v>59.4</v>
      </c>
      <c r="G239" s="324"/>
    </row>
    <row r="240" spans="1:7" s="155" customFormat="1" ht="18.75">
      <c r="A240" s="151">
        <v>14</v>
      </c>
      <c r="B240" s="152" t="s">
        <v>344</v>
      </c>
      <c r="C240" s="153" t="s">
        <v>345</v>
      </c>
      <c r="D240" s="153">
        <v>2</v>
      </c>
      <c r="E240" s="159">
        <f>260000/100</f>
        <v>2600</v>
      </c>
      <c r="F240" s="157">
        <f t="shared" si="10"/>
        <v>5200</v>
      </c>
      <c r="G240" s="324"/>
    </row>
    <row r="241" spans="1:7" s="155" customFormat="1">
      <c r="A241" s="151">
        <v>15</v>
      </c>
      <c r="B241" s="152" t="s">
        <v>328</v>
      </c>
      <c r="C241" s="153" t="s">
        <v>250</v>
      </c>
      <c r="D241" s="153">
        <v>1.9E-3</v>
      </c>
      <c r="E241" s="158">
        <v>25000</v>
      </c>
      <c r="F241" s="157">
        <f t="shared" si="10"/>
        <v>47.5</v>
      </c>
      <c r="G241" s="324"/>
    </row>
    <row r="242" spans="1:7" s="155" customFormat="1">
      <c r="A242" s="151">
        <v>16</v>
      </c>
      <c r="B242" s="152" t="s">
        <v>329</v>
      </c>
      <c r="C242" s="153" t="s">
        <v>250</v>
      </c>
      <c r="D242" s="153">
        <v>1.9E-3</v>
      </c>
      <c r="E242" s="158">
        <v>55000</v>
      </c>
      <c r="F242" s="157">
        <f t="shared" si="10"/>
        <v>104.5</v>
      </c>
      <c r="G242" s="325"/>
    </row>
    <row r="243" spans="1:7" s="155" customFormat="1">
      <c r="A243" s="311" t="s">
        <v>9</v>
      </c>
      <c r="B243" s="311"/>
      <c r="C243" s="165"/>
      <c r="D243" s="165"/>
      <c r="E243" s="166"/>
      <c r="F243" s="167">
        <f>SUM(F227:F242)</f>
        <v>8998.9</v>
      </c>
      <c r="G243" s="168"/>
    </row>
    <row r="244" spans="1:7" s="155" customFormat="1">
      <c r="A244" s="198" t="s">
        <v>83</v>
      </c>
      <c r="B244" s="164" t="s">
        <v>227</v>
      </c>
      <c r="C244" s="165"/>
      <c r="D244" s="165"/>
      <c r="E244" s="166"/>
      <c r="F244" s="167"/>
      <c r="G244" s="168"/>
    </row>
    <row r="245" spans="1:7" s="155" customFormat="1">
      <c r="A245" s="151">
        <v>1</v>
      </c>
      <c r="B245" s="152" t="s">
        <v>230</v>
      </c>
      <c r="C245" s="153" t="s">
        <v>231</v>
      </c>
      <c r="D245" s="153">
        <v>22</v>
      </c>
      <c r="E245" s="154">
        <v>2134</v>
      </c>
      <c r="F245" s="156">
        <f>E245*D245</f>
        <v>46948</v>
      </c>
      <c r="G245" s="168"/>
    </row>
    <row r="246" spans="1:7" s="155" customFormat="1">
      <c r="A246" s="151">
        <v>2</v>
      </c>
      <c r="B246" s="152" t="s">
        <v>232</v>
      </c>
      <c r="C246" s="153" t="s">
        <v>229</v>
      </c>
      <c r="D246" s="153">
        <v>200</v>
      </c>
      <c r="E246" s="169">
        <v>12.3</v>
      </c>
      <c r="F246" s="156">
        <f>E246*D246</f>
        <v>2460</v>
      </c>
      <c r="G246" s="168"/>
    </row>
    <row r="247" spans="1:7" s="155" customFormat="1">
      <c r="A247" s="311" t="s">
        <v>9</v>
      </c>
      <c r="B247" s="311"/>
      <c r="C247" s="165"/>
      <c r="D247" s="165"/>
      <c r="E247" s="166"/>
      <c r="F247" s="167">
        <f>SUM(F245:F246)</f>
        <v>49408</v>
      </c>
      <c r="G247" s="168"/>
    </row>
    <row r="248" spans="1:7" s="155" customFormat="1">
      <c r="A248" s="315" t="s">
        <v>346</v>
      </c>
      <c r="B248" s="315"/>
      <c r="C248" s="315"/>
      <c r="D248" s="315"/>
      <c r="E248" s="315"/>
      <c r="F248" s="315"/>
      <c r="G248" s="168"/>
    </row>
    <row r="249" spans="1:7" s="155" customFormat="1" ht="33">
      <c r="A249" s="165" t="s">
        <v>204</v>
      </c>
      <c r="B249" s="165" t="s">
        <v>205</v>
      </c>
      <c r="C249" s="165" t="s">
        <v>206</v>
      </c>
      <c r="D249" s="165" t="s">
        <v>188</v>
      </c>
      <c r="E249" s="170" t="s">
        <v>452</v>
      </c>
      <c r="F249" s="171" t="s">
        <v>453</v>
      </c>
      <c r="G249" s="168"/>
    </row>
    <row r="250" spans="1:7" s="176" customFormat="1">
      <c r="A250" s="172" t="s">
        <v>208</v>
      </c>
      <c r="B250" s="173" t="s">
        <v>209</v>
      </c>
      <c r="C250" s="172" t="s">
        <v>210</v>
      </c>
      <c r="D250" s="173" t="s">
        <v>211</v>
      </c>
      <c r="E250" s="172" t="s">
        <v>212</v>
      </c>
      <c r="F250" s="174" t="s">
        <v>213</v>
      </c>
      <c r="G250" s="175"/>
    </row>
    <row r="251" spans="1:7" s="155" customFormat="1">
      <c r="A251" s="198" t="s">
        <v>44</v>
      </c>
      <c r="B251" s="164" t="s">
        <v>285</v>
      </c>
      <c r="C251" s="165"/>
      <c r="D251" s="165"/>
      <c r="E251" s="170"/>
      <c r="F251" s="171"/>
      <c r="G251" s="168"/>
    </row>
    <row r="252" spans="1:7" s="155" customFormat="1" ht="18.75">
      <c r="A252" s="151">
        <v>1</v>
      </c>
      <c r="B252" s="152" t="s">
        <v>347</v>
      </c>
      <c r="C252" s="153" t="s">
        <v>287</v>
      </c>
      <c r="D252" s="153">
        <v>0.1</v>
      </c>
      <c r="E252" s="159">
        <f>4050000/1000</f>
        <v>4050</v>
      </c>
      <c r="F252" s="157">
        <f>E252*D252</f>
        <v>405</v>
      </c>
      <c r="G252" s="335" t="s">
        <v>493</v>
      </c>
    </row>
    <row r="253" spans="1:7" s="155" customFormat="1" ht="19.5">
      <c r="A253" s="151">
        <v>2</v>
      </c>
      <c r="B253" s="152" t="s">
        <v>462</v>
      </c>
      <c r="C253" s="153" t="s">
        <v>287</v>
      </c>
      <c r="D253" s="153">
        <v>0.2</v>
      </c>
      <c r="E253" s="159">
        <f>2650000/1000</f>
        <v>2650</v>
      </c>
      <c r="F253" s="157">
        <f t="shared" ref="F253:F281" si="11">E253*D253</f>
        <v>530</v>
      </c>
      <c r="G253" s="336"/>
    </row>
    <row r="254" spans="1:7" s="155" customFormat="1" ht="19.5">
      <c r="A254" s="151">
        <v>3</v>
      </c>
      <c r="B254" s="152" t="s">
        <v>463</v>
      </c>
      <c r="C254" s="153" t="s">
        <v>287</v>
      </c>
      <c r="D254" s="153">
        <v>0.05</v>
      </c>
      <c r="E254" s="159">
        <v>940</v>
      </c>
      <c r="F254" s="157">
        <f t="shared" si="11"/>
        <v>47</v>
      </c>
      <c r="G254" s="336"/>
    </row>
    <row r="255" spans="1:7" s="155" customFormat="1" ht="18.75">
      <c r="A255" s="151">
        <v>4</v>
      </c>
      <c r="B255" s="152" t="s">
        <v>348</v>
      </c>
      <c r="C255" s="153" t="s">
        <v>287</v>
      </c>
      <c r="D255" s="153">
        <v>1</v>
      </c>
      <c r="E255" s="159">
        <v>1220</v>
      </c>
      <c r="F255" s="157">
        <f t="shared" si="11"/>
        <v>1220</v>
      </c>
      <c r="G255" s="336"/>
    </row>
    <row r="256" spans="1:7" s="155" customFormat="1" ht="19.5">
      <c r="A256" s="151">
        <v>5</v>
      </c>
      <c r="B256" s="152" t="s">
        <v>457</v>
      </c>
      <c r="C256" s="153" t="s">
        <v>287</v>
      </c>
      <c r="D256" s="153">
        <v>0.1</v>
      </c>
      <c r="E256" s="159">
        <f>310000/500</f>
        <v>620</v>
      </c>
      <c r="F256" s="157">
        <f t="shared" si="11"/>
        <v>62</v>
      </c>
      <c r="G256" s="336"/>
    </row>
    <row r="257" spans="1:9" s="155" customFormat="1" ht="19.5">
      <c r="A257" s="151">
        <v>6</v>
      </c>
      <c r="B257" s="152" t="s">
        <v>464</v>
      </c>
      <c r="C257" s="153" t="s">
        <v>287</v>
      </c>
      <c r="D257" s="153">
        <v>2</v>
      </c>
      <c r="E257" s="159">
        <f>220000/500</f>
        <v>440</v>
      </c>
      <c r="F257" s="157">
        <f t="shared" si="11"/>
        <v>880</v>
      </c>
      <c r="G257" s="336"/>
    </row>
    <row r="258" spans="1:9" s="155" customFormat="1" ht="18.75">
      <c r="A258" s="151">
        <v>7</v>
      </c>
      <c r="B258" s="152" t="s">
        <v>349</v>
      </c>
      <c r="C258" s="153" t="s">
        <v>287</v>
      </c>
      <c r="D258" s="153">
        <v>2</v>
      </c>
      <c r="E258" s="159">
        <f>1430000/500</f>
        <v>2860</v>
      </c>
      <c r="F258" s="157">
        <f t="shared" si="11"/>
        <v>5720</v>
      </c>
      <c r="G258" s="336"/>
    </row>
    <row r="259" spans="1:9" s="155" customFormat="1" ht="18.75">
      <c r="A259" s="151">
        <v>8</v>
      </c>
      <c r="B259" s="152" t="s">
        <v>350</v>
      </c>
      <c r="C259" s="153" t="s">
        <v>287</v>
      </c>
      <c r="D259" s="153">
        <v>0.5</v>
      </c>
      <c r="E259" s="159">
        <f>2000000/500</f>
        <v>4000</v>
      </c>
      <c r="F259" s="157">
        <f t="shared" si="11"/>
        <v>2000</v>
      </c>
      <c r="G259" s="336"/>
    </row>
    <row r="260" spans="1:9" s="155" customFormat="1" ht="18.75">
      <c r="A260" s="151">
        <v>9</v>
      </c>
      <c r="B260" s="152" t="s">
        <v>296</v>
      </c>
      <c r="C260" s="153" t="s">
        <v>287</v>
      </c>
      <c r="D260" s="153">
        <v>0.5</v>
      </c>
      <c r="E260" s="159">
        <f>180000/500</f>
        <v>360</v>
      </c>
      <c r="F260" s="157">
        <f t="shared" si="11"/>
        <v>180</v>
      </c>
      <c r="G260" s="336"/>
    </row>
    <row r="261" spans="1:9" s="155" customFormat="1" ht="18.75">
      <c r="A261" s="151">
        <v>10</v>
      </c>
      <c r="B261" s="152" t="s">
        <v>351</v>
      </c>
      <c r="C261" s="153" t="s">
        <v>287</v>
      </c>
      <c r="D261" s="153">
        <v>0.1</v>
      </c>
      <c r="E261" s="159">
        <f>850000/500</f>
        <v>1700</v>
      </c>
      <c r="F261" s="157">
        <f t="shared" si="11"/>
        <v>170</v>
      </c>
      <c r="G261" s="336"/>
    </row>
    <row r="262" spans="1:9" s="155" customFormat="1" ht="18.75">
      <c r="A262" s="151">
        <v>11</v>
      </c>
      <c r="B262" s="152" t="s">
        <v>299</v>
      </c>
      <c r="C262" s="153" t="s">
        <v>287</v>
      </c>
      <c r="D262" s="153">
        <v>0.05</v>
      </c>
      <c r="E262" s="159">
        <v>1600</v>
      </c>
      <c r="F262" s="157">
        <f t="shared" si="11"/>
        <v>80</v>
      </c>
      <c r="G262" s="336"/>
      <c r="H262" s="159">
        <v>100</v>
      </c>
      <c r="I262" s="155">
        <v>160000</v>
      </c>
    </row>
    <row r="263" spans="1:9" s="155" customFormat="1" ht="19.5">
      <c r="A263" s="151">
        <v>12</v>
      </c>
      <c r="B263" s="152" t="s">
        <v>465</v>
      </c>
      <c r="C263" s="153" t="s">
        <v>287</v>
      </c>
      <c r="D263" s="153">
        <v>0.1</v>
      </c>
      <c r="E263" s="159">
        <f>340000/500</f>
        <v>680</v>
      </c>
      <c r="F263" s="157">
        <f t="shared" si="11"/>
        <v>68</v>
      </c>
      <c r="G263" s="336"/>
      <c r="H263" s="155">
        <v>1</v>
      </c>
      <c r="I263" s="155">
        <f>+H263*I262/H262</f>
        <v>1600</v>
      </c>
    </row>
    <row r="264" spans="1:9" s="155" customFormat="1" ht="19.5">
      <c r="A264" s="151">
        <v>13</v>
      </c>
      <c r="B264" s="152" t="s">
        <v>466</v>
      </c>
      <c r="C264" s="153" t="s">
        <v>287</v>
      </c>
      <c r="D264" s="153">
        <v>5.0000000000000001E-3</v>
      </c>
      <c r="E264" s="159">
        <f>1740000/500</f>
        <v>3480</v>
      </c>
      <c r="F264" s="157">
        <f t="shared" si="11"/>
        <v>17.400000000000002</v>
      </c>
      <c r="G264" s="336"/>
    </row>
    <row r="265" spans="1:9" s="155" customFormat="1" ht="19.5">
      <c r="A265" s="151">
        <v>14</v>
      </c>
      <c r="B265" s="152" t="s">
        <v>467</v>
      </c>
      <c r="C265" s="153" t="s">
        <v>287</v>
      </c>
      <c r="D265" s="153">
        <v>0.7</v>
      </c>
      <c r="E265" s="159">
        <f>550000/500</f>
        <v>1100</v>
      </c>
      <c r="F265" s="157">
        <f t="shared" si="11"/>
        <v>770</v>
      </c>
      <c r="G265" s="336"/>
    </row>
    <row r="266" spans="1:9" s="155" customFormat="1" ht="19.5">
      <c r="A266" s="151">
        <v>15</v>
      </c>
      <c r="B266" s="152" t="s">
        <v>468</v>
      </c>
      <c r="C266" s="153" t="s">
        <v>287</v>
      </c>
      <c r="D266" s="153">
        <v>0.1</v>
      </c>
      <c r="E266" s="159">
        <f>270000/500</f>
        <v>540</v>
      </c>
      <c r="F266" s="157">
        <f t="shared" si="11"/>
        <v>54</v>
      </c>
      <c r="G266" s="336"/>
    </row>
    <row r="267" spans="1:9" s="155" customFormat="1" ht="19.5">
      <c r="A267" s="151">
        <v>16</v>
      </c>
      <c r="B267" s="152" t="s">
        <v>469</v>
      </c>
      <c r="C267" s="153" t="s">
        <v>287</v>
      </c>
      <c r="D267" s="153">
        <v>0.1</v>
      </c>
      <c r="E267" s="159">
        <f>2500000/500</f>
        <v>5000</v>
      </c>
      <c r="F267" s="157">
        <f t="shared" si="11"/>
        <v>500</v>
      </c>
      <c r="G267" s="336"/>
    </row>
    <row r="268" spans="1:9" s="155" customFormat="1" ht="18.75">
      <c r="A268" s="151">
        <v>17</v>
      </c>
      <c r="B268" s="152" t="s">
        <v>352</v>
      </c>
      <c r="C268" s="153" t="s">
        <v>287</v>
      </c>
      <c r="D268" s="153">
        <v>0.5</v>
      </c>
      <c r="E268" s="159">
        <f>280000/500</f>
        <v>560</v>
      </c>
      <c r="F268" s="157">
        <f t="shared" si="11"/>
        <v>280</v>
      </c>
      <c r="G268" s="336"/>
    </row>
    <row r="269" spans="1:9" s="155" customFormat="1" ht="18.75">
      <c r="A269" s="151">
        <v>18</v>
      </c>
      <c r="B269" s="152" t="s">
        <v>353</v>
      </c>
      <c r="C269" s="153" t="s">
        <v>287</v>
      </c>
      <c r="D269" s="153">
        <v>1</v>
      </c>
      <c r="E269" s="159">
        <f>170000/500</f>
        <v>340</v>
      </c>
      <c r="F269" s="157">
        <f t="shared" si="11"/>
        <v>340</v>
      </c>
      <c r="G269" s="336"/>
    </row>
    <row r="270" spans="1:9" s="155" customFormat="1" ht="19.5">
      <c r="A270" s="151">
        <v>19</v>
      </c>
      <c r="B270" s="152" t="s">
        <v>470</v>
      </c>
      <c r="C270" s="153" t="s">
        <v>287</v>
      </c>
      <c r="D270" s="153">
        <v>0.05</v>
      </c>
      <c r="E270" s="159">
        <f>385000/500</f>
        <v>770</v>
      </c>
      <c r="F270" s="157">
        <f t="shared" si="11"/>
        <v>38.5</v>
      </c>
      <c r="G270" s="336"/>
    </row>
    <row r="271" spans="1:9" s="155" customFormat="1" ht="18.75">
      <c r="A271" s="151">
        <v>20</v>
      </c>
      <c r="B271" s="152" t="s">
        <v>354</v>
      </c>
      <c r="C271" s="153" t="s">
        <v>287</v>
      </c>
      <c r="D271" s="153">
        <v>0.08</v>
      </c>
      <c r="E271" s="159">
        <f>330000/100</f>
        <v>3300</v>
      </c>
      <c r="F271" s="157">
        <f t="shared" si="11"/>
        <v>264</v>
      </c>
      <c r="G271" s="336"/>
    </row>
    <row r="272" spans="1:9" s="155" customFormat="1" ht="18.75">
      <c r="A272" s="151">
        <v>21</v>
      </c>
      <c r="B272" s="152" t="s">
        <v>355</v>
      </c>
      <c r="C272" s="153" t="s">
        <v>287</v>
      </c>
      <c r="D272" s="153">
        <v>0.1</v>
      </c>
      <c r="E272" s="159">
        <f>500000/250</f>
        <v>2000</v>
      </c>
      <c r="F272" s="157">
        <f t="shared" si="11"/>
        <v>200</v>
      </c>
      <c r="G272" s="336"/>
    </row>
    <row r="273" spans="1:7" s="155" customFormat="1" ht="19.5">
      <c r="A273" s="151">
        <v>22</v>
      </c>
      <c r="B273" s="152" t="s">
        <v>471</v>
      </c>
      <c r="C273" s="153" t="s">
        <v>287</v>
      </c>
      <c r="D273" s="153">
        <v>0.1</v>
      </c>
      <c r="E273" s="159">
        <f>350000/500</f>
        <v>700</v>
      </c>
      <c r="F273" s="157">
        <f t="shared" si="11"/>
        <v>70</v>
      </c>
      <c r="G273" s="336"/>
    </row>
    <row r="274" spans="1:7" s="155" customFormat="1" ht="18.75">
      <c r="A274" s="151">
        <v>23</v>
      </c>
      <c r="B274" s="152" t="s">
        <v>356</v>
      </c>
      <c r="C274" s="153" t="s">
        <v>287</v>
      </c>
      <c r="D274" s="153">
        <v>0.5</v>
      </c>
      <c r="E274" s="159">
        <f>1500000/500</f>
        <v>3000</v>
      </c>
      <c r="F274" s="157">
        <f t="shared" si="11"/>
        <v>1500</v>
      </c>
      <c r="G274" s="336"/>
    </row>
    <row r="275" spans="1:7" s="155" customFormat="1" ht="18.75">
      <c r="A275" s="151">
        <v>24</v>
      </c>
      <c r="B275" s="152" t="s">
        <v>357</v>
      </c>
      <c r="C275" s="153" t="s">
        <v>287</v>
      </c>
      <c r="D275" s="153">
        <v>0.1</v>
      </c>
      <c r="E275" s="159">
        <f>350000/500</f>
        <v>700</v>
      </c>
      <c r="F275" s="157">
        <f t="shared" si="11"/>
        <v>70</v>
      </c>
      <c r="G275" s="336"/>
    </row>
    <row r="276" spans="1:7" s="155" customFormat="1" ht="19.5">
      <c r="A276" s="151">
        <v>25</v>
      </c>
      <c r="B276" s="152" t="s">
        <v>472</v>
      </c>
      <c r="C276" s="153" t="s">
        <v>287</v>
      </c>
      <c r="D276" s="153">
        <v>0.1</v>
      </c>
      <c r="E276" s="159">
        <f>1310000/500</f>
        <v>2620</v>
      </c>
      <c r="F276" s="157">
        <f t="shared" si="11"/>
        <v>262</v>
      </c>
      <c r="G276" s="336"/>
    </row>
    <row r="277" spans="1:7" s="155" customFormat="1" ht="19.5">
      <c r="A277" s="151">
        <v>26</v>
      </c>
      <c r="B277" s="152" t="s">
        <v>473</v>
      </c>
      <c r="C277" s="153" t="s">
        <v>287</v>
      </c>
      <c r="D277" s="153">
        <v>0.1</v>
      </c>
      <c r="E277" s="159">
        <f>250000/500</f>
        <v>500</v>
      </c>
      <c r="F277" s="157">
        <f t="shared" si="11"/>
        <v>50</v>
      </c>
      <c r="G277" s="336"/>
    </row>
    <row r="278" spans="1:7" s="155" customFormat="1" ht="18.75">
      <c r="A278" s="151">
        <v>27</v>
      </c>
      <c r="B278" s="152" t="s">
        <v>358</v>
      </c>
      <c r="C278" s="153" t="s">
        <v>287</v>
      </c>
      <c r="D278" s="153">
        <v>0.1</v>
      </c>
      <c r="E278" s="159">
        <f>6910000/500</f>
        <v>13820</v>
      </c>
      <c r="F278" s="157">
        <f t="shared" si="11"/>
        <v>1382</v>
      </c>
      <c r="G278" s="336"/>
    </row>
    <row r="279" spans="1:7" s="155" customFormat="1" ht="19.5">
      <c r="A279" s="151">
        <v>28</v>
      </c>
      <c r="B279" s="152" t="s">
        <v>474</v>
      </c>
      <c r="C279" s="153" t="s">
        <v>287</v>
      </c>
      <c r="D279" s="153">
        <v>0.1</v>
      </c>
      <c r="E279" s="159">
        <f>250000/500</f>
        <v>500</v>
      </c>
      <c r="F279" s="157">
        <f t="shared" si="11"/>
        <v>50</v>
      </c>
      <c r="G279" s="336"/>
    </row>
    <row r="280" spans="1:7" s="155" customFormat="1" ht="19.5">
      <c r="A280" s="151">
        <v>29</v>
      </c>
      <c r="B280" s="152" t="s">
        <v>475</v>
      </c>
      <c r="C280" s="153" t="s">
        <v>287</v>
      </c>
      <c r="D280" s="153">
        <v>5</v>
      </c>
      <c r="E280" s="159">
        <f>260000/500</f>
        <v>520</v>
      </c>
      <c r="F280" s="157">
        <f t="shared" si="11"/>
        <v>2600</v>
      </c>
      <c r="G280" s="336"/>
    </row>
    <row r="281" spans="1:7" s="155" customFormat="1" ht="18.75">
      <c r="A281" s="151">
        <v>30</v>
      </c>
      <c r="B281" s="152" t="s">
        <v>359</v>
      </c>
      <c r="C281" s="153" t="s">
        <v>268</v>
      </c>
      <c r="D281" s="153">
        <v>0.1</v>
      </c>
      <c r="E281" s="159">
        <f>160000/1000</f>
        <v>160</v>
      </c>
      <c r="F281" s="157">
        <f t="shared" si="11"/>
        <v>16</v>
      </c>
      <c r="G281" s="337"/>
    </row>
    <row r="282" spans="1:7" s="155" customFormat="1">
      <c r="A282" s="311" t="s">
        <v>9</v>
      </c>
      <c r="B282" s="311"/>
      <c r="C282" s="165"/>
      <c r="D282" s="165"/>
      <c r="E282" s="166"/>
      <c r="F282" s="167">
        <f>SUM(F252:F281)</f>
        <v>19825.900000000001</v>
      </c>
      <c r="G282" s="168"/>
    </row>
    <row r="283" spans="1:7" s="155" customFormat="1">
      <c r="A283" s="198" t="s">
        <v>83</v>
      </c>
      <c r="B283" s="164" t="s">
        <v>214</v>
      </c>
      <c r="C283" s="165"/>
      <c r="D283" s="165"/>
      <c r="E283" s="166"/>
      <c r="F283" s="167"/>
      <c r="G283" s="168"/>
    </row>
    <row r="284" spans="1:7" s="155" customFormat="1">
      <c r="A284" s="151">
        <v>1</v>
      </c>
      <c r="B284" s="152" t="s">
        <v>360</v>
      </c>
      <c r="C284" s="153" t="s">
        <v>361</v>
      </c>
      <c r="D284" s="153">
        <v>5.0000000000000001E-4</v>
      </c>
      <c r="E284" s="158">
        <v>1000000</v>
      </c>
      <c r="F284" s="157">
        <f t="shared" ref="F284:F293" si="12">D284*E284</f>
        <v>500</v>
      </c>
      <c r="G284" s="306" t="s">
        <v>493</v>
      </c>
    </row>
    <row r="285" spans="1:7" s="155" customFormat="1" ht="18.75">
      <c r="A285" s="151">
        <v>2</v>
      </c>
      <c r="B285" s="152" t="s">
        <v>362</v>
      </c>
      <c r="C285" s="153" t="s">
        <v>250</v>
      </c>
      <c r="D285" s="153">
        <v>1E-4</v>
      </c>
      <c r="E285" s="159">
        <v>30000</v>
      </c>
      <c r="F285" s="157">
        <f t="shared" si="12"/>
        <v>3</v>
      </c>
      <c r="G285" s="307"/>
    </row>
    <row r="286" spans="1:7" s="155" customFormat="1">
      <c r="A286" s="151">
        <v>3</v>
      </c>
      <c r="B286" s="152" t="s">
        <v>363</v>
      </c>
      <c r="C286" s="153" t="s">
        <v>250</v>
      </c>
      <c r="D286" s="153">
        <v>5.0000000000000001E-4</v>
      </c>
      <c r="E286" s="158">
        <v>250000</v>
      </c>
      <c r="F286" s="157">
        <f t="shared" si="12"/>
        <v>125</v>
      </c>
      <c r="G286" s="307"/>
    </row>
    <row r="287" spans="1:7" s="155" customFormat="1" ht="18.75">
      <c r="A287" s="151">
        <v>4</v>
      </c>
      <c r="B287" s="152" t="s">
        <v>364</v>
      </c>
      <c r="C287" s="153" t="s">
        <v>250</v>
      </c>
      <c r="D287" s="153">
        <v>1</v>
      </c>
      <c r="E287" s="159">
        <v>1600</v>
      </c>
      <c r="F287" s="157">
        <f t="shared" si="12"/>
        <v>1600</v>
      </c>
      <c r="G287" s="307"/>
    </row>
    <row r="288" spans="1:7" s="155" customFormat="1" ht="18.75">
      <c r="A288" s="151">
        <v>5</v>
      </c>
      <c r="B288" s="152" t="s">
        <v>365</v>
      </c>
      <c r="C288" s="153" t="s">
        <v>250</v>
      </c>
      <c r="D288" s="153">
        <v>5.0000000000000001E-4</v>
      </c>
      <c r="E288" s="159">
        <v>15000</v>
      </c>
      <c r="F288" s="157">
        <f t="shared" si="12"/>
        <v>7.5</v>
      </c>
      <c r="G288" s="307"/>
    </row>
    <row r="289" spans="1:13" s="155" customFormat="1">
      <c r="A289" s="151">
        <v>6</v>
      </c>
      <c r="B289" s="152" t="s">
        <v>366</v>
      </c>
      <c r="C289" s="153" t="s">
        <v>250</v>
      </c>
      <c r="D289" s="153">
        <v>2.9999999999999997E-4</v>
      </c>
      <c r="E289" s="158">
        <v>50000</v>
      </c>
      <c r="F289" s="157">
        <f t="shared" si="12"/>
        <v>14.999999999999998</v>
      </c>
      <c r="G289" s="307"/>
    </row>
    <row r="290" spans="1:13" s="155" customFormat="1">
      <c r="A290" s="151">
        <v>7</v>
      </c>
      <c r="B290" s="152" t="s">
        <v>367</v>
      </c>
      <c r="C290" s="153" t="s">
        <v>250</v>
      </c>
      <c r="D290" s="153">
        <v>2.0000000000000001E-4</v>
      </c>
      <c r="E290" s="158">
        <v>140000</v>
      </c>
      <c r="F290" s="157">
        <f t="shared" si="12"/>
        <v>28</v>
      </c>
      <c r="G290" s="307"/>
    </row>
    <row r="291" spans="1:13" s="155" customFormat="1">
      <c r="A291" s="151">
        <v>8</v>
      </c>
      <c r="B291" s="152" t="s">
        <v>368</v>
      </c>
      <c r="C291" s="153" t="s">
        <v>250</v>
      </c>
      <c r="D291" s="153">
        <v>5.0000000000000001E-4</v>
      </c>
      <c r="E291" s="158">
        <v>380000</v>
      </c>
      <c r="F291" s="157">
        <f t="shared" si="12"/>
        <v>190</v>
      </c>
      <c r="G291" s="307"/>
    </row>
    <row r="292" spans="1:13" s="155" customFormat="1">
      <c r="A292" s="151">
        <v>9</v>
      </c>
      <c r="B292" s="152" t="s">
        <v>369</v>
      </c>
      <c r="C292" s="153" t="s">
        <v>250</v>
      </c>
      <c r="D292" s="153">
        <v>1E-4</v>
      </c>
      <c r="E292" s="158">
        <v>35000</v>
      </c>
      <c r="F292" s="157">
        <f t="shared" si="12"/>
        <v>3.5</v>
      </c>
      <c r="G292" s="307"/>
    </row>
    <row r="293" spans="1:13" s="155" customFormat="1">
      <c r="A293" s="151">
        <v>10</v>
      </c>
      <c r="B293" s="152" t="s">
        <v>370</v>
      </c>
      <c r="C293" s="153" t="s">
        <v>337</v>
      </c>
      <c r="D293" s="153">
        <v>5.0000000000000001E-4</v>
      </c>
      <c r="E293" s="158">
        <v>55000</v>
      </c>
      <c r="F293" s="157">
        <f t="shared" si="12"/>
        <v>27.5</v>
      </c>
      <c r="G293" s="308"/>
    </row>
    <row r="294" spans="1:13" s="155" customFormat="1">
      <c r="A294" s="311" t="s">
        <v>9</v>
      </c>
      <c r="B294" s="311"/>
      <c r="C294" s="165"/>
      <c r="D294" s="165"/>
      <c r="E294" s="166"/>
      <c r="F294" s="167">
        <f>SUM(F284:F293)</f>
        <v>2499.5</v>
      </c>
      <c r="G294" s="168"/>
    </row>
    <row r="295" spans="1:13" s="155" customFormat="1">
      <c r="A295" s="198" t="s">
        <v>83</v>
      </c>
      <c r="B295" s="164" t="s">
        <v>227</v>
      </c>
      <c r="C295" s="165"/>
      <c r="D295" s="165"/>
      <c r="E295" s="166"/>
      <c r="F295" s="167"/>
      <c r="G295" s="168"/>
    </row>
    <row r="296" spans="1:13" s="155" customFormat="1">
      <c r="A296" s="151">
        <v>1</v>
      </c>
      <c r="B296" s="152" t="s">
        <v>230</v>
      </c>
      <c r="C296" s="153" t="s">
        <v>231</v>
      </c>
      <c r="D296" s="153">
        <v>35</v>
      </c>
      <c r="E296" s="154">
        <v>2134</v>
      </c>
      <c r="F296" s="156">
        <f>E296*D296</f>
        <v>74690</v>
      </c>
      <c r="G296" s="168"/>
    </row>
    <row r="297" spans="1:13" s="155" customFormat="1">
      <c r="A297" s="151">
        <v>2</v>
      </c>
      <c r="B297" s="152" t="s">
        <v>232</v>
      </c>
      <c r="C297" s="153" t="s">
        <v>229</v>
      </c>
      <c r="D297" s="153">
        <v>250</v>
      </c>
      <c r="E297" s="169">
        <v>12.3</v>
      </c>
      <c r="F297" s="156">
        <f>E297*D297</f>
        <v>3075</v>
      </c>
      <c r="G297" s="168"/>
    </row>
    <row r="298" spans="1:13" s="155" customFormat="1">
      <c r="A298" s="311" t="s">
        <v>9</v>
      </c>
      <c r="B298" s="311"/>
      <c r="C298" s="165"/>
      <c r="D298" s="165"/>
      <c r="E298" s="166"/>
      <c r="F298" s="167">
        <f>SUM(F296:F297)</f>
        <v>77765</v>
      </c>
      <c r="G298" s="168"/>
    </row>
    <row r="299" spans="1:13" s="155" customFormat="1" ht="19.5" customHeight="1">
      <c r="A299" s="315" t="s">
        <v>371</v>
      </c>
      <c r="B299" s="315"/>
      <c r="C299" s="315"/>
      <c r="D299" s="315"/>
      <c r="E299" s="315"/>
      <c r="F299" s="315"/>
      <c r="G299" s="168"/>
    </row>
    <row r="300" spans="1:13" s="155" customFormat="1">
      <c r="A300" s="315" t="s">
        <v>372</v>
      </c>
      <c r="B300" s="315"/>
      <c r="C300" s="315"/>
      <c r="D300" s="315"/>
      <c r="E300" s="315"/>
      <c r="F300" s="315"/>
      <c r="G300" s="168"/>
    </row>
    <row r="301" spans="1:13" s="155" customFormat="1" ht="33">
      <c r="A301" s="165" t="s">
        <v>204</v>
      </c>
      <c r="B301" s="165" t="s">
        <v>205</v>
      </c>
      <c r="C301" s="165" t="s">
        <v>206</v>
      </c>
      <c r="D301" s="165" t="s">
        <v>188</v>
      </c>
      <c r="E301" s="170" t="s">
        <v>452</v>
      </c>
      <c r="F301" s="171" t="s">
        <v>453</v>
      </c>
      <c r="G301" s="168"/>
    </row>
    <row r="302" spans="1:13" s="176" customFormat="1">
      <c r="A302" s="172" t="s">
        <v>208</v>
      </c>
      <c r="B302" s="173" t="s">
        <v>209</v>
      </c>
      <c r="C302" s="172" t="s">
        <v>210</v>
      </c>
      <c r="D302" s="173" t="s">
        <v>211</v>
      </c>
      <c r="E302" s="172" t="s">
        <v>212</v>
      </c>
      <c r="F302" s="174" t="s">
        <v>213</v>
      </c>
      <c r="G302" s="175"/>
      <c r="H302" s="155"/>
      <c r="I302" s="155"/>
      <c r="J302" s="155"/>
      <c r="K302" s="155"/>
      <c r="L302" s="155"/>
      <c r="M302" s="155"/>
    </row>
    <row r="303" spans="1:13" s="155" customFormat="1">
      <c r="A303" s="198" t="s">
        <v>44</v>
      </c>
      <c r="B303" s="164" t="s">
        <v>285</v>
      </c>
      <c r="C303" s="165"/>
      <c r="D303" s="165"/>
      <c r="E303" s="170"/>
      <c r="F303" s="171"/>
      <c r="G303" s="168"/>
    </row>
    <row r="304" spans="1:13" s="155" customFormat="1" ht="18.75">
      <c r="A304" s="151">
        <v>1</v>
      </c>
      <c r="B304" s="152" t="s">
        <v>373</v>
      </c>
      <c r="C304" s="153" t="s">
        <v>374</v>
      </c>
      <c r="D304" s="153">
        <v>200</v>
      </c>
      <c r="E304" s="159">
        <f>2540000/12000</f>
        <v>211.66666666666666</v>
      </c>
      <c r="F304" s="157">
        <f>E304*D304</f>
        <v>42333.333333333328</v>
      </c>
      <c r="G304" s="306" t="s">
        <v>493</v>
      </c>
    </row>
    <row r="305" spans="1:7" s="155" customFormat="1" ht="18.75">
      <c r="A305" s="151">
        <v>2</v>
      </c>
      <c r="B305" s="152" t="s">
        <v>375</v>
      </c>
      <c r="C305" s="153" t="s">
        <v>289</v>
      </c>
      <c r="D305" s="153">
        <v>15</v>
      </c>
      <c r="E305" s="159">
        <f>1900000/4000</f>
        <v>475</v>
      </c>
      <c r="F305" s="157">
        <f t="shared" ref="F305:F310" si="13">E305*D305</f>
        <v>7125</v>
      </c>
      <c r="G305" s="307"/>
    </row>
    <row r="306" spans="1:7" s="155" customFormat="1" ht="18.75">
      <c r="A306" s="151">
        <v>3</v>
      </c>
      <c r="B306" s="152" t="s">
        <v>376</v>
      </c>
      <c r="C306" s="153" t="s">
        <v>289</v>
      </c>
      <c r="D306" s="153">
        <v>0.5</v>
      </c>
      <c r="E306" s="159">
        <f>2380000/1000</f>
        <v>2380</v>
      </c>
      <c r="F306" s="157">
        <f t="shared" si="13"/>
        <v>1190</v>
      </c>
      <c r="G306" s="307"/>
    </row>
    <row r="307" spans="1:7" s="155" customFormat="1">
      <c r="A307" s="151">
        <v>4</v>
      </c>
      <c r="B307" s="152" t="s">
        <v>377</v>
      </c>
      <c r="C307" s="153" t="s">
        <v>289</v>
      </c>
      <c r="D307" s="153">
        <v>5</v>
      </c>
      <c r="E307" s="158">
        <f>550000/1000</f>
        <v>550</v>
      </c>
      <c r="F307" s="157">
        <f t="shared" si="13"/>
        <v>2750</v>
      </c>
      <c r="G307" s="307"/>
    </row>
    <row r="308" spans="1:7" s="155" customFormat="1" ht="18.75">
      <c r="A308" s="151">
        <v>5</v>
      </c>
      <c r="B308" s="152" t="s">
        <v>378</v>
      </c>
      <c r="C308" s="153" t="s">
        <v>287</v>
      </c>
      <c r="D308" s="153">
        <v>4</v>
      </c>
      <c r="E308" s="159">
        <f>341000/500</f>
        <v>682</v>
      </c>
      <c r="F308" s="157">
        <f t="shared" si="13"/>
        <v>2728</v>
      </c>
      <c r="G308" s="307"/>
    </row>
    <row r="309" spans="1:7" s="155" customFormat="1">
      <c r="A309" s="151">
        <v>6</v>
      </c>
      <c r="B309" s="152" t="s">
        <v>379</v>
      </c>
      <c r="C309" s="153" t="s">
        <v>287</v>
      </c>
      <c r="D309" s="153">
        <v>0.1</v>
      </c>
      <c r="E309" s="158">
        <f>4000000/100</f>
        <v>40000</v>
      </c>
      <c r="F309" s="157">
        <f t="shared" si="13"/>
        <v>4000</v>
      </c>
      <c r="G309" s="307"/>
    </row>
    <row r="310" spans="1:7" s="155" customFormat="1">
      <c r="A310" s="151">
        <v>7</v>
      </c>
      <c r="B310" s="152" t="s">
        <v>380</v>
      </c>
      <c r="C310" s="153" t="s">
        <v>287</v>
      </c>
      <c r="D310" s="153">
        <v>1</v>
      </c>
      <c r="E310" s="158">
        <f>1020000/250</f>
        <v>4080</v>
      </c>
      <c r="F310" s="157">
        <f t="shared" si="13"/>
        <v>4080</v>
      </c>
      <c r="G310" s="308"/>
    </row>
    <row r="311" spans="1:7" s="155" customFormat="1">
      <c r="A311" s="311" t="s">
        <v>9</v>
      </c>
      <c r="B311" s="311"/>
      <c r="C311" s="165"/>
      <c r="D311" s="165"/>
      <c r="E311" s="166"/>
      <c r="F311" s="167">
        <f>SUM(F304:F310)</f>
        <v>64206.333333333328</v>
      </c>
      <c r="G311" s="186"/>
    </row>
    <row r="312" spans="1:7" s="155" customFormat="1" ht="24" customHeight="1">
      <c r="A312" s="198" t="s">
        <v>83</v>
      </c>
      <c r="B312" s="164" t="s">
        <v>214</v>
      </c>
      <c r="C312" s="165"/>
      <c r="D312" s="165"/>
      <c r="E312" s="166"/>
      <c r="F312" s="167"/>
      <c r="G312" s="168"/>
    </row>
    <row r="313" spans="1:7" s="155" customFormat="1" ht="18.75">
      <c r="A313" s="151">
        <v>1</v>
      </c>
      <c r="B313" s="152" t="s">
        <v>381</v>
      </c>
      <c r="C313" s="153" t="s">
        <v>250</v>
      </c>
      <c r="D313" s="153">
        <v>10</v>
      </c>
      <c r="E313" s="159">
        <f>270000/500</f>
        <v>540</v>
      </c>
      <c r="F313" s="157">
        <f t="shared" ref="F313:F321" si="14">D313*E313</f>
        <v>5400</v>
      </c>
      <c r="G313" s="306" t="s">
        <v>493</v>
      </c>
    </row>
    <row r="314" spans="1:7" s="160" customFormat="1" ht="33">
      <c r="A314" s="151">
        <v>2</v>
      </c>
      <c r="B314" s="152" t="s">
        <v>382</v>
      </c>
      <c r="C314" s="153" t="s">
        <v>250</v>
      </c>
      <c r="D314" s="153">
        <v>5.9999999999999995E-4</v>
      </c>
      <c r="E314" s="178">
        <v>200000</v>
      </c>
      <c r="F314" s="157">
        <f t="shared" si="14"/>
        <v>119.99999999999999</v>
      </c>
      <c r="G314" s="307"/>
    </row>
    <row r="315" spans="1:7" s="160" customFormat="1" ht="18.75">
      <c r="A315" s="151">
        <v>3</v>
      </c>
      <c r="B315" s="152" t="s">
        <v>383</v>
      </c>
      <c r="C315" s="153" t="s">
        <v>250</v>
      </c>
      <c r="D315" s="153">
        <v>8.9999999999999998E-4</v>
      </c>
      <c r="E315" s="178">
        <f>450000/50</f>
        <v>9000</v>
      </c>
      <c r="F315" s="157">
        <f t="shared" si="14"/>
        <v>8.1</v>
      </c>
      <c r="G315" s="307"/>
    </row>
    <row r="316" spans="1:7" s="155" customFormat="1">
      <c r="A316" s="151">
        <v>4</v>
      </c>
      <c r="B316" s="152" t="s">
        <v>384</v>
      </c>
      <c r="C316" s="153" t="s">
        <v>250</v>
      </c>
      <c r="D316" s="153">
        <v>5.0000000000000001E-4</v>
      </c>
      <c r="E316" s="158">
        <v>42000</v>
      </c>
      <c r="F316" s="157">
        <f t="shared" si="14"/>
        <v>21</v>
      </c>
      <c r="G316" s="307"/>
    </row>
    <row r="317" spans="1:7" s="155" customFormat="1">
      <c r="A317" s="151">
        <v>5</v>
      </c>
      <c r="B317" s="152" t="s">
        <v>385</v>
      </c>
      <c r="C317" s="153" t="s">
        <v>250</v>
      </c>
      <c r="D317" s="153">
        <v>8.9999999999999998E-4</v>
      </c>
      <c r="E317" s="158">
        <v>25000</v>
      </c>
      <c r="F317" s="157">
        <f t="shared" si="14"/>
        <v>22.5</v>
      </c>
      <c r="G317" s="307"/>
    </row>
    <row r="318" spans="1:7" s="155" customFormat="1">
      <c r="A318" s="151">
        <v>6</v>
      </c>
      <c r="B318" s="152" t="s">
        <v>386</v>
      </c>
      <c r="C318" s="153" t="s">
        <v>250</v>
      </c>
      <c r="D318" s="153">
        <v>2</v>
      </c>
      <c r="E318" s="158">
        <v>2000</v>
      </c>
      <c r="F318" s="157">
        <f t="shared" si="14"/>
        <v>4000</v>
      </c>
      <c r="G318" s="307"/>
    </row>
    <row r="319" spans="1:7" s="155" customFormat="1" ht="18.75">
      <c r="A319" s="151">
        <v>7</v>
      </c>
      <c r="B319" s="152" t="s">
        <v>387</v>
      </c>
      <c r="C319" s="153" t="s">
        <v>250</v>
      </c>
      <c r="D319" s="153">
        <v>3</v>
      </c>
      <c r="E319" s="159">
        <f>4950000/100</f>
        <v>49500</v>
      </c>
      <c r="F319" s="157">
        <f t="shared" si="14"/>
        <v>148500</v>
      </c>
      <c r="G319" s="307"/>
    </row>
    <row r="320" spans="1:7" s="155" customFormat="1" ht="18.75">
      <c r="A320" s="151">
        <v>8</v>
      </c>
      <c r="B320" s="152" t="s">
        <v>388</v>
      </c>
      <c r="C320" s="153" t="s">
        <v>250</v>
      </c>
      <c r="D320" s="153">
        <v>2</v>
      </c>
      <c r="E320" s="159">
        <f>130000/100</f>
        <v>1300</v>
      </c>
      <c r="F320" s="157">
        <f t="shared" si="14"/>
        <v>2600</v>
      </c>
      <c r="G320" s="307"/>
    </row>
    <row r="321" spans="1:13" s="155" customFormat="1">
      <c r="A321" s="151">
        <v>9</v>
      </c>
      <c r="B321" s="152" t="s">
        <v>329</v>
      </c>
      <c r="C321" s="153" t="s">
        <v>250</v>
      </c>
      <c r="D321" s="153">
        <v>1.9E-3</v>
      </c>
      <c r="E321" s="158">
        <v>55000</v>
      </c>
      <c r="F321" s="157">
        <f t="shared" si="14"/>
        <v>104.5</v>
      </c>
      <c r="G321" s="308"/>
    </row>
    <row r="322" spans="1:13" s="155" customFormat="1">
      <c r="A322" s="311" t="s">
        <v>9</v>
      </c>
      <c r="B322" s="311"/>
      <c r="C322" s="165"/>
      <c r="D322" s="165"/>
      <c r="E322" s="166"/>
      <c r="F322" s="167">
        <f>SUM(F313:F321)</f>
        <v>160776.1</v>
      </c>
      <c r="G322" s="186"/>
    </row>
    <row r="323" spans="1:13" s="155" customFormat="1">
      <c r="A323" s="198" t="s">
        <v>83</v>
      </c>
      <c r="B323" s="164" t="s">
        <v>227</v>
      </c>
      <c r="C323" s="165"/>
      <c r="D323" s="165"/>
      <c r="E323" s="166"/>
      <c r="F323" s="167"/>
      <c r="G323" s="168"/>
    </row>
    <row r="324" spans="1:13" s="155" customFormat="1">
      <c r="A324" s="151">
        <v>1</v>
      </c>
      <c r="B324" s="152" t="s">
        <v>230</v>
      </c>
      <c r="C324" s="153" t="s">
        <v>231</v>
      </c>
      <c r="D324" s="153">
        <v>25</v>
      </c>
      <c r="E324" s="154">
        <v>2134</v>
      </c>
      <c r="F324" s="156">
        <f>E324*D324</f>
        <v>53350</v>
      </c>
      <c r="G324" s="168"/>
    </row>
    <row r="325" spans="1:13" s="155" customFormat="1">
      <c r="A325" s="151">
        <v>2</v>
      </c>
      <c r="B325" s="152" t="s">
        <v>232</v>
      </c>
      <c r="C325" s="153" t="s">
        <v>229</v>
      </c>
      <c r="D325" s="153">
        <v>200</v>
      </c>
      <c r="E325" s="169">
        <v>12.3</v>
      </c>
      <c r="F325" s="156">
        <f>E325*D325</f>
        <v>2460</v>
      </c>
      <c r="G325" s="168"/>
    </row>
    <row r="326" spans="1:13" s="155" customFormat="1">
      <c r="A326" s="311" t="s">
        <v>9</v>
      </c>
      <c r="B326" s="311"/>
      <c r="C326" s="165"/>
      <c r="D326" s="165"/>
      <c r="E326" s="166"/>
      <c r="F326" s="167">
        <f>SUM(F324:F325)</f>
        <v>55810</v>
      </c>
      <c r="G326" s="168"/>
    </row>
    <row r="327" spans="1:13" s="155" customFormat="1" ht="26.25" customHeight="1">
      <c r="A327" s="315" t="s">
        <v>389</v>
      </c>
      <c r="B327" s="315"/>
      <c r="C327" s="315"/>
      <c r="D327" s="315"/>
      <c r="E327" s="315"/>
      <c r="F327" s="315"/>
      <c r="G327" s="168"/>
    </row>
    <row r="328" spans="1:13" s="155" customFormat="1" ht="33">
      <c r="A328" s="165" t="s">
        <v>204</v>
      </c>
      <c r="B328" s="165" t="s">
        <v>205</v>
      </c>
      <c r="C328" s="165" t="s">
        <v>206</v>
      </c>
      <c r="D328" s="165" t="s">
        <v>188</v>
      </c>
      <c r="E328" s="170" t="s">
        <v>452</v>
      </c>
      <c r="F328" s="171" t="s">
        <v>453</v>
      </c>
      <c r="G328" s="168"/>
    </row>
    <row r="329" spans="1:13" s="176" customFormat="1">
      <c r="A329" s="172" t="s">
        <v>208</v>
      </c>
      <c r="B329" s="173" t="s">
        <v>209</v>
      </c>
      <c r="C329" s="172" t="s">
        <v>210</v>
      </c>
      <c r="D329" s="173" t="s">
        <v>211</v>
      </c>
      <c r="E329" s="172" t="s">
        <v>212</v>
      </c>
      <c r="F329" s="174" t="s">
        <v>213</v>
      </c>
      <c r="G329" s="175"/>
      <c r="H329" s="155"/>
      <c r="I329" s="155"/>
      <c r="J329" s="155"/>
      <c r="K329" s="155"/>
      <c r="L329" s="155"/>
      <c r="M329" s="155"/>
    </row>
    <row r="330" spans="1:13" s="155" customFormat="1">
      <c r="A330" s="198" t="s">
        <v>44</v>
      </c>
      <c r="B330" s="164" t="s">
        <v>285</v>
      </c>
      <c r="C330" s="165"/>
      <c r="D330" s="165"/>
      <c r="E330" s="170"/>
      <c r="F330" s="171"/>
      <c r="G330" s="168"/>
    </row>
    <row r="331" spans="1:13" s="155" customFormat="1" ht="33">
      <c r="A331" s="151">
        <v>1</v>
      </c>
      <c r="B331" s="152" t="s">
        <v>390</v>
      </c>
      <c r="C331" s="153" t="s">
        <v>289</v>
      </c>
      <c r="D331" s="153">
        <v>1.6</v>
      </c>
      <c r="E331" s="158">
        <f>3050000/100</f>
        <v>30500</v>
      </c>
      <c r="F331" s="157">
        <f>E331*D331</f>
        <v>48800</v>
      </c>
      <c r="G331" s="306" t="s">
        <v>493</v>
      </c>
      <c r="H331" s="155">
        <f>2540/1.2</f>
        <v>2116.666666666667</v>
      </c>
    </row>
    <row r="332" spans="1:13" s="155" customFormat="1">
      <c r="A332" s="151">
        <v>2</v>
      </c>
      <c r="B332" s="152" t="s">
        <v>391</v>
      </c>
      <c r="C332" s="153" t="s">
        <v>289</v>
      </c>
      <c r="D332" s="153">
        <v>10</v>
      </c>
      <c r="E332" s="158">
        <f>1900000/4000</f>
        <v>475</v>
      </c>
      <c r="F332" s="157">
        <f t="shared" ref="F332:F339" si="15">E332*D332</f>
        <v>4750</v>
      </c>
      <c r="G332" s="307"/>
      <c r="H332" s="155">
        <f>1900/4</f>
        <v>475</v>
      </c>
    </row>
    <row r="333" spans="1:13" s="155" customFormat="1">
      <c r="A333" s="151">
        <v>3</v>
      </c>
      <c r="B333" s="152" t="s">
        <v>392</v>
      </c>
      <c r="C333" s="153" t="s">
        <v>289</v>
      </c>
      <c r="D333" s="153">
        <v>0.1</v>
      </c>
      <c r="E333" s="158">
        <f>110000/1000</f>
        <v>110</v>
      </c>
      <c r="F333" s="157">
        <f t="shared" si="15"/>
        <v>11</v>
      </c>
      <c r="G333" s="307"/>
      <c r="H333" s="155">
        <f>1020/2.5</f>
        <v>408</v>
      </c>
    </row>
    <row r="334" spans="1:13" s="155" customFormat="1">
      <c r="A334" s="151">
        <v>4</v>
      </c>
      <c r="B334" s="152" t="s">
        <v>393</v>
      </c>
      <c r="C334" s="153" t="s">
        <v>289</v>
      </c>
      <c r="D334" s="153">
        <v>0.01</v>
      </c>
      <c r="E334" s="185">
        <f>2380000/1000</f>
        <v>2380</v>
      </c>
      <c r="F334" s="157">
        <f t="shared" si="15"/>
        <v>23.8</v>
      </c>
      <c r="G334" s="307"/>
    </row>
    <row r="335" spans="1:13" s="155" customFormat="1">
      <c r="A335" s="151">
        <v>5</v>
      </c>
      <c r="B335" s="152" t="s">
        <v>394</v>
      </c>
      <c r="C335" s="153" t="s">
        <v>289</v>
      </c>
      <c r="D335" s="153">
        <v>10</v>
      </c>
      <c r="E335" s="158">
        <v>408</v>
      </c>
      <c r="F335" s="157">
        <f t="shared" si="15"/>
        <v>4080</v>
      </c>
      <c r="G335" s="307"/>
    </row>
    <row r="336" spans="1:13" s="155" customFormat="1">
      <c r="A336" s="151">
        <v>6</v>
      </c>
      <c r="B336" s="152" t="s">
        <v>395</v>
      </c>
      <c r="C336" s="153" t="s">
        <v>334</v>
      </c>
      <c r="D336" s="153">
        <v>4.3</v>
      </c>
      <c r="E336" s="158">
        <f>341000/500</f>
        <v>682</v>
      </c>
      <c r="F336" s="157">
        <f t="shared" si="15"/>
        <v>2932.6</v>
      </c>
      <c r="G336" s="307"/>
    </row>
    <row r="337" spans="1:8" s="155" customFormat="1">
      <c r="A337" s="151">
        <v>7</v>
      </c>
      <c r="B337" s="152" t="s">
        <v>396</v>
      </c>
      <c r="C337" s="153" t="s">
        <v>334</v>
      </c>
      <c r="D337" s="153">
        <v>4.3</v>
      </c>
      <c r="E337" s="158">
        <f>1800000/1000</f>
        <v>1800</v>
      </c>
      <c r="F337" s="157">
        <f t="shared" si="15"/>
        <v>7740</v>
      </c>
      <c r="G337" s="307"/>
    </row>
    <row r="338" spans="1:8" s="155" customFormat="1">
      <c r="A338" s="151">
        <v>8</v>
      </c>
      <c r="B338" s="152" t="s">
        <v>397</v>
      </c>
      <c r="C338" s="153" t="s">
        <v>334</v>
      </c>
      <c r="D338" s="153">
        <v>0.1</v>
      </c>
      <c r="E338" s="158">
        <v>30000</v>
      </c>
      <c r="F338" s="157">
        <f t="shared" si="15"/>
        <v>3000</v>
      </c>
      <c r="G338" s="307"/>
    </row>
    <row r="339" spans="1:8" s="155" customFormat="1">
      <c r="A339" s="151">
        <v>9</v>
      </c>
      <c r="B339" s="152" t="s">
        <v>398</v>
      </c>
      <c r="C339" s="153" t="s">
        <v>334</v>
      </c>
      <c r="D339" s="153">
        <v>0.1</v>
      </c>
      <c r="E339" s="158">
        <f>4000000/100</f>
        <v>40000</v>
      </c>
      <c r="F339" s="157">
        <f t="shared" si="15"/>
        <v>4000</v>
      </c>
      <c r="G339" s="308"/>
    </row>
    <row r="340" spans="1:8" s="155" customFormat="1">
      <c r="A340" s="311" t="s">
        <v>9</v>
      </c>
      <c r="B340" s="311"/>
      <c r="C340" s="165"/>
      <c r="D340" s="165"/>
      <c r="E340" s="166"/>
      <c r="F340" s="167">
        <f>SUM(F331:F339)</f>
        <v>75337.399999999994</v>
      </c>
      <c r="G340" s="186"/>
    </row>
    <row r="341" spans="1:8" s="155" customFormat="1">
      <c r="A341" s="198" t="s">
        <v>83</v>
      </c>
      <c r="B341" s="164" t="s">
        <v>214</v>
      </c>
      <c r="C341" s="165"/>
      <c r="D341" s="165"/>
      <c r="E341" s="166"/>
      <c r="F341" s="167"/>
      <c r="G341" s="168"/>
    </row>
    <row r="342" spans="1:8" s="155" customFormat="1" ht="18.75">
      <c r="A342" s="151">
        <v>1</v>
      </c>
      <c r="B342" s="152" t="s">
        <v>399</v>
      </c>
      <c r="C342" s="153" t="s">
        <v>250</v>
      </c>
      <c r="D342" s="153">
        <v>3</v>
      </c>
      <c r="E342" s="159">
        <v>5000</v>
      </c>
      <c r="F342" s="157">
        <f>E342*D342</f>
        <v>15000</v>
      </c>
      <c r="G342" s="306" t="s">
        <v>493</v>
      </c>
      <c r="H342" s="155">
        <v>10980000</v>
      </c>
    </row>
    <row r="343" spans="1:8" s="160" customFormat="1" ht="33">
      <c r="A343" s="151">
        <v>2</v>
      </c>
      <c r="B343" s="152" t="s">
        <v>400</v>
      </c>
      <c r="C343" s="153" t="s">
        <v>250</v>
      </c>
      <c r="D343" s="153">
        <v>9</v>
      </c>
      <c r="E343" s="178">
        <f>270000/500</f>
        <v>540</v>
      </c>
      <c r="F343" s="157">
        <f t="shared" ref="F343:F352" si="16">E343*D343</f>
        <v>4860</v>
      </c>
      <c r="G343" s="307"/>
    </row>
    <row r="344" spans="1:8" s="155" customFormat="1" ht="18.75">
      <c r="A344" s="151">
        <v>3</v>
      </c>
      <c r="B344" s="152" t="s">
        <v>401</v>
      </c>
      <c r="C344" s="153" t="s">
        <v>250</v>
      </c>
      <c r="D344" s="153">
        <v>8.9999999999999998E-4</v>
      </c>
      <c r="E344" s="159">
        <v>750000</v>
      </c>
      <c r="F344" s="157">
        <f t="shared" si="16"/>
        <v>675</v>
      </c>
      <c r="G344" s="307"/>
    </row>
    <row r="345" spans="1:8" s="155" customFormat="1" ht="18.75">
      <c r="A345" s="151">
        <v>4</v>
      </c>
      <c r="B345" s="152" t="s">
        <v>402</v>
      </c>
      <c r="C345" s="153" t="s">
        <v>250</v>
      </c>
      <c r="D345" s="153">
        <v>5.0000000000000001E-4</v>
      </c>
      <c r="E345" s="159">
        <v>2700000</v>
      </c>
      <c r="F345" s="157">
        <f t="shared" si="16"/>
        <v>1350</v>
      </c>
      <c r="G345" s="307"/>
    </row>
    <row r="346" spans="1:8" s="155" customFormat="1" ht="18.75">
      <c r="A346" s="151">
        <v>5</v>
      </c>
      <c r="B346" s="152" t="s">
        <v>403</v>
      </c>
      <c r="C346" s="153" t="s">
        <v>250</v>
      </c>
      <c r="D346" s="153">
        <v>8.9999999999999998E-4</v>
      </c>
      <c r="E346" s="159">
        <f>450000/50</f>
        <v>9000</v>
      </c>
      <c r="F346" s="157">
        <f t="shared" si="16"/>
        <v>8.1</v>
      </c>
      <c r="G346" s="307"/>
    </row>
    <row r="347" spans="1:8" s="155" customFormat="1" ht="18.75">
      <c r="A347" s="151">
        <v>6</v>
      </c>
      <c r="B347" s="152" t="s">
        <v>404</v>
      </c>
      <c r="C347" s="153" t="s">
        <v>250</v>
      </c>
      <c r="D347" s="153">
        <v>8.9999999999999998E-4</v>
      </c>
      <c r="E347" s="159">
        <v>350000</v>
      </c>
      <c r="F347" s="157">
        <f t="shared" si="16"/>
        <v>315</v>
      </c>
      <c r="G347" s="307"/>
    </row>
    <row r="348" spans="1:8" s="155" customFormat="1">
      <c r="A348" s="151">
        <v>7</v>
      </c>
      <c r="B348" s="152" t="s">
        <v>405</v>
      </c>
      <c r="C348" s="153" t="s">
        <v>250</v>
      </c>
      <c r="D348" s="153">
        <v>3</v>
      </c>
      <c r="E348" s="158">
        <v>2000</v>
      </c>
      <c r="F348" s="157">
        <f t="shared" si="16"/>
        <v>6000</v>
      </c>
      <c r="G348" s="307"/>
    </row>
    <row r="349" spans="1:8" s="155" customFormat="1">
      <c r="A349" s="151">
        <v>8</v>
      </c>
      <c r="B349" s="152" t="s">
        <v>406</v>
      </c>
      <c r="C349" s="153" t="s">
        <v>250</v>
      </c>
      <c r="D349" s="153">
        <v>8.9999999999999998E-4</v>
      </c>
      <c r="E349" s="158">
        <v>450000</v>
      </c>
      <c r="F349" s="157">
        <f t="shared" si="16"/>
        <v>405</v>
      </c>
      <c r="G349" s="307"/>
    </row>
    <row r="350" spans="1:8" s="155" customFormat="1" ht="33">
      <c r="A350" s="151">
        <v>9</v>
      </c>
      <c r="B350" s="152" t="s">
        <v>407</v>
      </c>
      <c r="C350" s="153" t="s">
        <v>250</v>
      </c>
      <c r="D350" s="153">
        <v>8.9999999999999998E-4</v>
      </c>
      <c r="E350" s="158">
        <v>42000</v>
      </c>
      <c r="F350" s="157">
        <f t="shared" si="16"/>
        <v>37.799999999999997</v>
      </c>
      <c r="G350" s="307"/>
    </row>
    <row r="351" spans="1:8" s="155" customFormat="1" ht="18.75">
      <c r="A351" s="151"/>
      <c r="B351" s="152" t="s">
        <v>408</v>
      </c>
      <c r="C351" s="153" t="s">
        <v>250</v>
      </c>
      <c r="D351" s="153">
        <v>5.0000000000000001E-4</v>
      </c>
      <c r="E351" s="159">
        <v>460200</v>
      </c>
      <c r="F351" s="157">
        <f t="shared" si="16"/>
        <v>230.1</v>
      </c>
      <c r="G351" s="307"/>
      <c r="H351" s="155">
        <f>23010000/50</f>
        <v>460200</v>
      </c>
    </row>
    <row r="352" spans="1:8" s="155" customFormat="1" ht="18.75">
      <c r="A352" s="151"/>
      <c r="B352" s="152" t="s">
        <v>409</v>
      </c>
      <c r="C352" s="153" t="s">
        <v>250</v>
      </c>
      <c r="D352" s="153">
        <v>3</v>
      </c>
      <c r="E352" s="159">
        <f>130000/100</f>
        <v>1300</v>
      </c>
      <c r="F352" s="157">
        <f t="shared" si="16"/>
        <v>3900</v>
      </c>
      <c r="G352" s="308"/>
    </row>
    <row r="353" spans="1:13" s="155" customFormat="1">
      <c r="A353" s="311" t="s">
        <v>9</v>
      </c>
      <c r="B353" s="311"/>
      <c r="C353" s="165"/>
      <c r="D353" s="165"/>
      <c r="E353" s="166"/>
      <c r="F353" s="167">
        <f>SUM(F342:F352)</f>
        <v>32781</v>
      </c>
      <c r="G353" s="168"/>
    </row>
    <row r="354" spans="1:13" s="155" customFormat="1">
      <c r="A354" s="198" t="s">
        <v>83</v>
      </c>
      <c r="B354" s="164" t="s">
        <v>227</v>
      </c>
      <c r="C354" s="165"/>
      <c r="D354" s="165"/>
      <c r="E354" s="166"/>
      <c r="F354" s="167"/>
      <c r="G354" s="168"/>
    </row>
    <row r="355" spans="1:13" s="155" customFormat="1">
      <c r="A355" s="151">
        <v>1</v>
      </c>
      <c r="B355" s="152" t="s">
        <v>230</v>
      </c>
      <c r="C355" s="153" t="s">
        <v>231</v>
      </c>
      <c r="D355" s="153">
        <v>25</v>
      </c>
      <c r="E355" s="154">
        <v>2134</v>
      </c>
      <c r="F355" s="156">
        <f>E355*D355</f>
        <v>53350</v>
      </c>
      <c r="G355" s="168"/>
    </row>
    <row r="356" spans="1:13" s="155" customFormat="1">
      <c r="A356" s="151">
        <v>2</v>
      </c>
      <c r="B356" s="152" t="s">
        <v>232</v>
      </c>
      <c r="C356" s="153" t="s">
        <v>229</v>
      </c>
      <c r="D356" s="153">
        <v>200</v>
      </c>
      <c r="E356" s="169">
        <v>12.3</v>
      </c>
      <c r="F356" s="156">
        <f>E356*D356</f>
        <v>2460</v>
      </c>
      <c r="G356" s="168"/>
    </row>
    <row r="357" spans="1:13" s="155" customFormat="1">
      <c r="A357" s="311" t="s">
        <v>9</v>
      </c>
      <c r="B357" s="311"/>
      <c r="C357" s="165"/>
      <c r="D357" s="165"/>
      <c r="E357" s="170"/>
      <c r="F357" s="167">
        <f>SUM(F355:F356)</f>
        <v>55810</v>
      </c>
      <c r="G357" s="168"/>
    </row>
    <row r="358" spans="1:13" s="155" customFormat="1" ht="27.75" customHeight="1">
      <c r="A358" s="315" t="s">
        <v>410</v>
      </c>
      <c r="B358" s="315"/>
      <c r="C358" s="315"/>
      <c r="D358" s="315"/>
      <c r="E358" s="315"/>
      <c r="F358" s="315"/>
      <c r="G358" s="168"/>
    </row>
    <row r="359" spans="1:13" s="155" customFormat="1" ht="33">
      <c r="A359" s="165" t="s">
        <v>204</v>
      </c>
      <c r="B359" s="165" t="s">
        <v>205</v>
      </c>
      <c r="C359" s="165" t="s">
        <v>206</v>
      </c>
      <c r="D359" s="165" t="s">
        <v>188</v>
      </c>
      <c r="E359" s="170" t="s">
        <v>452</v>
      </c>
      <c r="F359" s="171" t="s">
        <v>453</v>
      </c>
      <c r="G359" s="168"/>
    </row>
    <row r="360" spans="1:13" s="176" customFormat="1">
      <c r="A360" s="172" t="s">
        <v>208</v>
      </c>
      <c r="B360" s="173" t="s">
        <v>209</v>
      </c>
      <c r="C360" s="172" t="s">
        <v>210</v>
      </c>
      <c r="D360" s="173" t="s">
        <v>211</v>
      </c>
      <c r="E360" s="172" t="s">
        <v>212</v>
      </c>
      <c r="F360" s="174" t="s">
        <v>213</v>
      </c>
      <c r="G360" s="175"/>
      <c r="H360" s="155"/>
      <c r="I360" s="155"/>
      <c r="J360" s="155"/>
      <c r="K360" s="155"/>
      <c r="L360" s="155"/>
      <c r="M360" s="155"/>
    </row>
    <row r="361" spans="1:13" s="155" customFormat="1">
      <c r="A361" s="198" t="s">
        <v>44</v>
      </c>
      <c r="B361" s="164" t="s">
        <v>285</v>
      </c>
      <c r="C361" s="165"/>
      <c r="D361" s="165"/>
      <c r="E361" s="170"/>
      <c r="F361" s="171"/>
      <c r="G361" s="168"/>
    </row>
    <row r="362" spans="1:13" s="155" customFormat="1" ht="19.5">
      <c r="A362" s="151">
        <v>1</v>
      </c>
      <c r="B362" s="152" t="s">
        <v>476</v>
      </c>
      <c r="C362" s="153" t="s">
        <v>287</v>
      </c>
      <c r="D362" s="153">
        <v>0.34</v>
      </c>
      <c r="E362" s="159">
        <f>840000/500</f>
        <v>1680</v>
      </c>
      <c r="F362" s="157">
        <f t="shared" ref="F362:F367" si="17">E362*D362</f>
        <v>571.20000000000005</v>
      </c>
      <c r="G362" s="329"/>
    </row>
    <row r="363" spans="1:13" s="155" customFormat="1" ht="18.75">
      <c r="A363" s="151">
        <v>2</v>
      </c>
      <c r="B363" s="152" t="s">
        <v>375</v>
      </c>
      <c r="C363" s="153" t="s">
        <v>289</v>
      </c>
      <c r="D363" s="153">
        <v>5.7</v>
      </c>
      <c r="E363" s="159">
        <f>1900000/4000</f>
        <v>475</v>
      </c>
      <c r="F363" s="157">
        <f t="shared" si="17"/>
        <v>2707.5</v>
      </c>
      <c r="G363" s="330"/>
    </row>
    <row r="364" spans="1:13" s="155" customFormat="1">
      <c r="A364" s="151">
        <v>3</v>
      </c>
      <c r="B364" s="152" t="s">
        <v>411</v>
      </c>
      <c r="C364" s="153" t="s">
        <v>289</v>
      </c>
      <c r="D364" s="153">
        <v>0.01</v>
      </c>
      <c r="E364" s="158">
        <v>2380</v>
      </c>
      <c r="F364" s="157">
        <f t="shared" si="17"/>
        <v>23.8</v>
      </c>
      <c r="G364" s="330"/>
    </row>
    <row r="365" spans="1:13" s="155" customFormat="1" ht="19.5">
      <c r="A365" s="151">
        <v>4</v>
      </c>
      <c r="B365" s="152" t="s">
        <v>477</v>
      </c>
      <c r="C365" s="153" t="s">
        <v>289</v>
      </c>
      <c r="D365" s="153">
        <v>0.03</v>
      </c>
      <c r="E365" s="159">
        <f>70000/500</f>
        <v>140</v>
      </c>
      <c r="F365" s="157">
        <f t="shared" si="17"/>
        <v>4.2</v>
      </c>
      <c r="G365" s="330"/>
    </row>
    <row r="366" spans="1:13" s="155" customFormat="1" ht="18.75">
      <c r="A366" s="151">
        <v>5</v>
      </c>
      <c r="B366" s="152" t="s">
        <v>412</v>
      </c>
      <c r="C366" s="153" t="s">
        <v>374</v>
      </c>
      <c r="D366" s="153">
        <v>350</v>
      </c>
      <c r="E366" s="159">
        <f>2550000/120000</f>
        <v>21.25</v>
      </c>
      <c r="F366" s="157">
        <f t="shared" si="17"/>
        <v>7437.5</v>
      </c>
      <c r="G366" s="330"/>
      <c r="H366" s="155">
        <f>840*2</f>
        <v>1680</v>
      </c>
    </row>
    <row r="367" spans="1:13" s="155" customFormat="1" ht="18.75">
      <c r="A367" s="151">
        <v>6</v>
      </c>
      <c r="B367" s="152" t="s">
        <v>413</v>
      </c>
      <c r="C367" s="153" t="s">
        <v>374</v>
      </c>
      <c r="D367" s="153">
        <v>350</v>
      </c>
      <c r="E367" s="159">
        <f>4570000/120000</f>
        <v>38.083333333333336</v>
      </c>
      <c r="F367" s="157">
        <f t="shared" si="17"/>
        <v>13329.166666666668</v>
      </c>
      <c r="G367" s="331"/>
    </row>
    <row r="368" spans="1:13" s="155" customFormat="1">
      <c r="A368" s="311" t="s">
        <v>9</v>
      </c>
      <c r="B368" s="311"/>
      <c r="C368" s="165"/>
      <c r="D368" s="165"/>
      <c r="E368" s="166"/>
      <c r="F368" s="177">
        <f>SUM(F362:F367)</f>
        <v>24073.366666666669</v>
      </c>
      <c r="G368" s="168"/>
    </row>
    <row r="369" spans="1:8" s="155" customFormat="1">
      <c r="A369" s="198" t="s">
        <v>83</v>
      </c>
      <c r="B369" s="164" t="s">
        <v>214</v>
      </c>
      <c r="C369" s="165"/>
      <c r="D369" s="165"/>
      <c r="E369" s="166"/>
      <c r="F369" s="167"/>
      <c r="G369" s="168"/>
    </row>
    <row r="370" spans="1:8" s="155" customFormat="1" ht="18.75">
      <c r="A370" s="151">
        <v>1</v>
      </c>
      <c r="B370" s="152" t="s">
        <v>414</v>
      </c>
      <c r="C370" s="153" t="s">
        <v>250</v>
      </c>
      <c r="D370" s="153">
        <v>3</v>
      </c>
      <c r="E370" s="159">
        <v>5000</v>
      </c>
      <c r="F370" s="157">
        <f>E370*D370</f>
        <v>15000</v>
      </c>
      <c r="G370" s="323" t="s">
        <v>493</v>
      </c>
    </row>
    <row r="371" spans="1:8" s="160" customFormat="1" ht="49.5">
      <c r="A371" s="151">
        <v>2</v>
      </c>
      <c r="B371" s="152" t="s">
        <v>415</v>
      </c>
      <c r="C371" s="153" t="s">
        <v>250</v>
      </c>
      <c r="D371" s="153">
        <v>2.1</v>
      </c>
      <c r="E371" s="178">
        <f>15000000/54</f>
        <v>277777.77777777775</v>
      </c>
      <c r="F371" s="157">
        <f>E371*D371</f>
        <v>583333.33333333326</v>
      </c>
      <c r="G371" s="324"/>
      <c r="H371" s="160">
        <f>15120000/54</f>
        <v>280000</v>
      </c>
    </row>
    <row r="372" spans="1:8" s="155" customFormat="1">
      <c r="A372" s="151">
        <v>3</v>
      </c>
      <c r="B372" s="152" t="s">
        <v>405</v>
      </c>
      <c r="C372" s="153" t="s">
        <v>250</v>
      </c>
      <c r="D372" s="153">
        <v>3</v>
      </c>
      <c r="E372" s="158">
        <v>2000</v>
      </c>
      <c r="F372" s="157">
        <f t="shared" ref="F372:F380" si="18">E372*D372</f>
        <v>6000</v>
      </c>
      <c r="G372" s="324"/>
    </row>
    <row r="373" spans="1:8" s="155" customFormat="1" ht="33">
      <c r="A373" s="151">
        <v>4</v>
      </c>
      <c r="B373" s="152" t="s">
        <v>416</v>
      </c>
      <c r="C373" s="153" t="s">
        <v>250</v>
      </c>
      <c r="D373" s="153">
        <v>5.9999999999999995E-4</v>
      </c>
      <c r="E373" s="159">
        <v>600000</v>
      </c>
      <c r="F373" s="157">
        <f t="shared" si="18"/>
        <v>359.99999999999994</v>
      </c>
      <c r="G373" s="324"/>
    </row>
    <row r="374" spans="1:8" s="160" customFormat="1" ht="49.5">
      <c r="A374" s="151">
        <v>5</v>
      </c>
      <c r="B374" s="152" t="s">
        <v>417</v>
      </c>
      <c r="C374" s="153" t="s">
        <v>250</v>
      </c>
      <c r="D374" s="153">
        <v>9</v>
      </c>
      <c r="E374" s="178">
        <f>270000/500</f>
        <v>540</v>
      </c>
      <c r="F374" s="157">
        <f t="shared" si="18"/>
        <v>4860</v>
      </c>
      <c r="G374" s="324"/>
    </row>
    <row r="375" spans="1:8" s="155" customFormat="1" ht="33">
      <c r="A375" s="151">
        <v>6</v>
      </c>
      <c r="B375" s="152" t="s">
        <v>418</v>
      </c>
      <c r="C375" s="153" t="s">
        <v>250</v>
      </c>
      <c r="D375" s="153">
        <v>5.0000000000000001E-4</v>
      </c>
      <c r="E375" s="158">
        <v>750000</v>
      </c>
      <c r="F375" s="157">
        <f t="shared" si="18"/>
        <v>375</v>
      </c>
      <c r="G375" s="324"/>
    </row>
    <row r="376" spans="1:8" s="160" customFormat="1" ht="33">
      <c r="A376" s="151">
        <v>7</v>
      </c>
      <c r="B376" s="152" t="s">
        <v>419</v>
      </c>
      <c r="C376" s="153" t="s">
        <v>250</v>
      </c>
      <c r="D376" s="153">
        <v>5.0000000000000001E-4</v>
      </c>
      <c r="E376" s="178">
        <f>450000/50</f>
        <v>9000</v>
      </c>
      <c r="F376" s="157">
        <f t="shared" si="18"/>
        <v>4.5</v>
      </c>
      <c r="G376" s="324"/>
    </row>
    <row r="377" spans="1:8" s="160" customFormat="1" ht="66">
      <c r="A377" s="151">
        <v>8</v>
      </c>
      <c r="B377" s="152" t="s">
        <v>420</v>
      </c>
      <c r="C377" s="153" t="s">
        <v>250</v>
      </c>
      <c r="D377" s="153">
        <v>5.0000000000000001E-4</v>
      </c>
      <c r="E377" s="178">
        <v>757200</v>
      </c>
      <c r="F377" s="157">
        <f t="shared" si="18"/>
        <v>378.6</v>
      </c>
      <c r="G377" s="324"/>
    </row>
    <row r="378" spans="1:8" s="160" customFormat="1" ht="49.5">
      <c r="A378" s="151">
        <v>9</v>
      </c>
      <c r="B378" s="152" t="s">
        <v>421</v>
      </c>
      <c r="C378" s="153" t="s">
        <v>250</v>
      </c>
      <c r="D378" s="153">
        <v>3</v>
      </c>
      <c r="E378" s="178">
        <f>4950000/100</f>
        <v>49500</v>
      </c>
      <c r="F378" s="157">
        <f t="shared" si="18"/>
        <v>148500</v>
      </c>
      <c r="G378" s="324"/>
      <c r="H378" s="160">
        <f>4950000/100</f>
        <v>49500</v>
      </c>
    </row>
    <row r="379" spans="1:8" s="155" customFormat="1" ht="18.75">
      <c r="A379" s="151">
        <v>10</v>
      </c>
      <c r="B379" s="152" t="s">
        <v>388</v>
      </c>
      <c r="C379" s="153" t="s">
        <v>250</v>
      </c>
      <c r="D379" s="153">
        <v>3</v>
      </c>
      <c r="E379" s="159">
        <f>130000/100</f>
        <v>1300</v>
      </c>
      <c r="F379" s="157">
        <f t="shared" si="18"/>
        <v>3900</v>
      </c>
      <c r="G379" s="324"/>
    </row>
    <row r="380" spans="1:8" s="155" customFormat="1" ht="18.75">
      <c r="A380" s="151">
        <v>11</v>
      </c>
      <c r="B380" s="152" t="s">
        <v>422</v>
      </c>
      <c r="C380" s="153" t="s">
        <v>248</v>
      </c>
      <c r="D380" s="153">
        <v>3</v>
      </c>
      <c r="E380" s="159">
        <f>260000/100</f>
        <v>2600</v>
      </c>
      <c r="F380" s="157">
        <f t="shared" si="18"/>
        <v>7800</v>
      </c>
      <c r="G380" s="325"/>
      <c r="H380" s="155">
        <f>260000/100</f>
        <v>2600</v>
      </c>
    </row>
    <row r="381" spans="1:8" s="155" customFormat="1">
      <c r="A381" s="311" t="s">
        <v>9</v>
      </c>
      <c r="B381" s="311"/>
      <c r="C381" s="165"/>
      <c r="D381" s="165"/>
      <c r="E381" s="166"/>
      <c r="F381" s="167">
        <f>SUM(F370:F380)</f>
        <v>770511.43333333323</v>
      </c>
      <c r="G381" s="168"/>
    </row>
    <row r="382" spans="1:8" s="155" customFormat="1">
      <c r="A382" s="198" t="s">
        <v>83</v>
      </c>
      <c r="B382" s="164" t="s">
        <v>227</v>
      </c>
      <c r="C382" s="165"/>
      <c r="D382" s="165"/>
      <c r="E382" s="166"/>
      <c r="F382" s="167"/>
      <c r="G382" s="168"/>
    </row>
    <row r="383" spans="1:8" s="155" customFormat="1">
      <c r="A383" s="151">
        <v>1</v>
      </c>
      <c r="B383" s="152" t="s">
        <v>230</v>
      </c>
      <c r="C383" s="153" t="s">
        <v>231</v>
      </c>
      <c r="D383" s="153">
        <v>12</v>
      </c>
      <c r="E383" s="154">
        <v>2000</v>
      </c>
      <c r="F383" s="156">
        <f>E383*D383</f>
        <v>24000</v>
      </c>
      <c r="G383" s="168"/>
    </row>
    <row r="384" spans="1:8" s="155" customFormat="1">
      <c r="A384" s="151">
        <v>2</v>
      </c>
      <c r="B384" s="152" t="s">
        <v>232</v>
      </c>
      <c r="C384" s="153" t="s">
        <v>229</v>
      </c>
      <c r="D384" s="153">
        <v>200</v>
      </c>
      <c r="E384" s="169">
        <v>12.3</v>
      </c>
      <c r="F384" s="156">
        <f>E384*D384</f>
        <v>2460</v>
      </c>
      <c r="G384" s="168"/>
    </row>
    <row r="385" spans="1:8" s="155" customFormat="1">
      <c r="A385" s="311" t="s">
        <v>9</v>
      </c>
      <c r="B385" s="311"/>
      <c r="C385" s="165"/>
      <c r="D385" s="165"/>
      <c r="E385" s="170"/>
      <c r="F385" s="167">
        <f>SUM(F383:F384)</f>
        <v>26460</v>
      </c>
      <c r="G385" s="168"/>
    </row>
    <row r="386" spans="1:8" s="155" customFormat="1" ht="21.75" customHeight="1">
      <c r="A386" s="315" t="s">
        <v>423</v>
      </c>
      <c r="B386" s="315"/>
      <c r="C386" s="315"/>
      <c r="D386" s="315"/>
      <c r="E386" s="315"/>
      <c r="F386" s="315"/>
      <c r="G386" s="168"/>
    </row>
    <row r="387" spans="1:8" s="155" customFormat="1" ht="33">
      <c r="A387" s="165" t="s">
        <v>204</v>
      </c>
      <c r="B387" s="165" t="s">
        <v>205</v>
      </c>
      <c r="C387" s="165" t="s">
        <v>206</v>
      </c>
      <c r="D387" s="165" t="s">
        <v>188</v>
      </c>
      <c r="E387" s="170" t="s">
        <v>452</v>
      </c>
      <c r="F387" s="171" t="s">
        <v>453</v>
      </c>
      <c r="G387" s="168"/>
    </row>
    <row r="388" spans="1:8" s="176" customFormat="1">
      <c r="A388" s="172" t="s">
        <v>208</v>
      </c>
      <c r="B388" s="173" t="s">
        <v>209</v>
      </c>
      <c r="C388" s="172" t="s">
        <v>210</v>
      </c>
      <c r="D388" s="173" t="s">
        <v>211</v>
      </c>
      <c r="E388" s="172" t="s">
        <v>212</v>
      </c>
      <c r="F388" s="174" t="s">
        <v>213</v>
      </c>
      <c r="G388" s="175"/>
    </row>
    <row r="389" spans="1:8" s="155" customFormat="1">
      <c r="A389" s="198" t="s">
        <v>44</v>
      </c>
      <c r="B389" s="164" t="s">
        <v>285</v>
      </c>
      <c r="C389" s="165"/>
      <c r="D389" s="165"/>
      <c r="E389" s="170"/>
      <c r="F389" s="171"/>
      <c r="G389" s="168"/>
    </row>
    <row r="390" spans="1:8" s="155" customFormat="1" ht="18.75">
      <c r="A390" s="151">
        <v>1</v>
      </c>
      <c r="B390" s="152" t="s">
        <v>424</v>
      </c>
      <c r="C390" s="179" t="s">
        <v>374</v>
      </c>
      <c r="D390" s="179">
        <v>350</v>
      </c>
      <c r="E390" s="180">
        <v>19.75</v>
      </c>
      <c r="F390" s="157">
        <f>E390*D390</f>
        <v>6912.5</v>
      </c>
      <c r="G390" s="323" t="s">
        <v>493</v>
      </c>
    </row>
    <row r="391" spans="1:8" s="155" customFormat="1" ht="18.75">
      <c r="A391" s="151">
        <v>2</v>
      </c>
      <c r="B391" s="152" t="s">
        <v>413</v>
      </c>
      <c r="C391" s="179" t="s">
        <v>374</v>
      </c>
      <c r="D391" s="179">
        <v>350</v>
      </c>
      <c r="E391" s="180">
        <v>19.75</v>
      </c>
      <c r="F391" s="157">
        <f t="shared" ref="F391:F396" si="19">E391*D391</f>
        <v>6912.5</v>
      </c>
      <c r="G391" s="324"/>
    </row>
    <row r="392" spans="1:8" s="155" customFormat="1" ht="18.75">
      <c r="A392" s="151">
        <v>3</v>
      </c>
      <c r="B392" s="152" t="s">
        <v>425</v>
      </c>
      <c r="C392" s="179" t="s">
        <v>289</v>
      </c>
      <c r="D392" s="179">
        <v>10</v>
      </c>
      <c r="E392" s="159">
        <f>1900000/4000</f>
        <v>475</v>
      </c>
      <c r="F392" s="157">
        <f t="shared" si="19"/>
        <v>4750</v>
      </c>
      <c r="G392" s="324"/>
    </row>
    <row r="393" spans="1:8" s="155" customFormat="1" ht="18.75">
      <c r="A393" s="151">
        <v>4</v>
      </c>
      <c r="B393" s="152" t="s">
        <v>394</v>
      </c>
      <c r="C393" s="179" t="s">
        <v>289</v>
      </c>
      <c r="D393" s="179">
        <v>6</v>
      </c>
      <c r="E393" s="159">
        <v>408</v>
      </c>
      <c r="F393" s="157">
        <f t="shared" si="19"/>
        <v>2448</v>
      </c>
      <c r="G393" s="324"/>
      <c r="H393" s="155">
        <f>1020/2.5</f>
        <v>408</v>
      </c>
    </row>
    <row r="394" spans="1:8" s="155" customFormat="1" ht="18.75">
      <c r="A394" s="151">
        <v>5</v>
      </c>
      <c r="B394" s="152" t="s">
        <v>426</v>
      </c>
      <c r="C394" s="179" t="s">
        <v>289</v>
      </c>
      <c r="D394" s="179">
        <v>10</v>
      </c>
      <c r="E394" s="159">
        <f>990000/1000</f>
        <v>990</v>
      </c>
      <c r="F394" s="157">
        <f t="shared" si="19"/>
        <v>9900</v>
      </c>
      <c r="G394" s="324"/>
    </row>
    <row r="395" spans="1:8" s="155" customFormat="1" ht="18.75">
      <c r="A395" s="151">
        <v>6</v>
      </c>
      <c r="B395" s="152" t="s">
        <v>427</v>
      </c>
      <c r="C395" s="179" t="s">
        <v>287</v>
      </c>
      <c r="D395" s="179">
        <v>0.42</v>
      </c>
      <c r="E395" s="159">
        <f>180000/500</f>
        <v>360</v>
      </c>
      <c r="F395" s="157">
        <f t="shared" si="19"/>
        <v>151.19999999999999</v>
      </c>
      <c r="G395" s="324"/>
    </row>
    <row r="396" spans="1:8" s="155" customFormat="1" ht="18.75">
      <c r="A396" s="151">
        <v>7</v>
      </c>
      <c r="B396" s="152" t="s">
        <v>393</v>
      </c>
      <c r="C396" s="179" t="s">
        <v>289</v>
      </c>
      <c r="D396" s="179">
        <v>0.01</v>
      </c>
      <c r="E396" s="159">
        <f>2380000/1000</f>
        <v>2380</v>
      </c>
      <c r="F396" s="157">
        <f t="shared" si="19"/>
        <v>23.8</v>
      </c>
      <c r="G396" s="325"/>
    </row>
    <row r="397" spans="1:8" s="155" customFormat="1" ht="27.75" customHeight="1">
      <c r="A397" s="311" t="s">
        <v>9</v>
      </c>
      <c r="B397" s="311"/>
      <c r="C397" s="165"/>
      <c r="D397" s="165"/>
      <c r="E397" s="166"/>
      <c r="F397" s="167">
        <f>SUM(F390:F396)</f>
        <v>31098</v>
      </c>
      <c r="G397" s="168"/>
    </row>
    <row r="398" spans="1:8" s="155" customFormat="1" ht="26.25" customHeight="1">
      <c r="A398" s="198" t="s">
        <v>83</v>
      </c>
      <c r="B398" s="164" t="s">
        <v>214</v>
      </c>
      <c r="C398" s="165"/>
      <c r="D398" s="165"/>
      <c r="E398" s="166"/>
      <c r="F398" s="167"/>
      <c r="G398" s="168"/>
    </row>
    <row r="399" spans="1:8" s="160" customFormat="1" ht="33">
      <c r="A399" s="151">
        <v>1</v>
      </c>
      <c r="B399" s="152" t="s">
        <v>428</v>
      </c>
      <c r="C399" s="153" t="s">
        <v>250</v>
      </c>
      <c r="D399" s="153">
        <v>10</v>
      </c>
      <c r="E399" s="178">
        <f>270000/500</f>
        <v>540</v>
      </c>
      <c r="F399" s="157">
        <f>E399*D399</f>
        <v>5400</v>
      </c>
      <c r="G399" s="323" t="s">
        <v>493</v>
      </c>
    </row>
    <row r="400" spans="1:8" s="155" customFormat="1" ht="33">
      <c r="A400" s="151">
        <v>2</v>
      </c>
      <c r="B400" s="152" t="s">
        <v>382</v>
      </c>
      <c r="C400" s="153" t="s">
        <v>250</v>
      </c>
      <c r="D400" s="153">
        <v>4.0000000000000002E-4</v>
      </c>
      <c r="E400" s="158">
        <v>750000</v>
      </c>
      <c r="F400" s="157">
        <f t="shared" ref="F400:F409" si="20">E400*D400</f>
        <v>300</v>
      </c>
      <c r="G400" s="324"/>
    </row>
    <row r="401" spans="1:7" s="155" customFormat="1" ht="18.75">
      <c r="A401" s="151">
        <v>3</v>
      </c>
      <c r="B401" s="152" t="s">
        <v>383</v>
      </c>
      <c r="C401" s="153" t="s">
        <v>250</v>
      </c>
      <c r="D401" s="153">
        <v>8.9999999999999998E-4</v>
      </c>
      <c r="E401" s="159">
        <f>450000/50</f>
        <v>9000</v>
      </c>
      <c r="F401" s="157">
        <f t="shared" si="20"/>
        <v>8.1</v>
      </c>
      <c r="G401" s="324"/>
    </row>
    <row r="402" spans="1:7" s="155" customFormat="1">
      <c r="A402" s="151">
        <v>4</v>
      </c>
      <c r="B402" s="152" t="s">
        <v>384</v>
      </c>
      <c r="C402" s="153" t="s">
        <v>250</v>
      </c>
      <c r="D402" s="153">
        <v>8.9999999999999998E-4</v>
      </c>
      <c r="E402" s="158">
        <v>42000</v>
      </c>
      <c r="F402" s="157">
        <f t="shared" si="20"/>
        <v>37.799999999999997</v>
      </c>
      <c r="G402" s="324"/>
    </row>
    <row r="403" spans="1:7" s="155" customFormat="1">
      <c r="A403" s="151">
        <v>5</v>
      </c>
      <c r="B403" s="152" t="s">
        <v>385</v>
      </c>
      <c r="C403" s="153" t="s">
        <v>250</v>
      </c>
      <c r="D403" s="153">
        <v>5.7000000000000002E-3</v>
      </c>
      <c r="E403" s="158">
        <v>25000</v>
      </c>
      <c r="F403" s="157">
        <f t="shared" si="20"/>
        <v>142.5</v>
      </c>
      <c r="G403" s="324"/>
    </row>
    <row r="404" spans="1:7" s="155" customFormat="1">
      <c r="A404" s="151">
        <v>6</v>
      </c>
      <c r="B404" s="152" t="s">
        <v>386</v>
      </c>
      <c r="C404" s="153" t="s">
        <v>250</v>
      </c>
      <c r="D404" s="153">
        <v>3</v>
      </c>
      <c r="E404" s="158">
        <v>2000</v>
      </c>
      <c r="F404" s="157">
        <f t="shared" si="20"/>
        <v>6000</v>
      </c>
      <c r="G404" s="324"/>
    </row>
    <row r="405" spans="1:7" s="155" customFormat="1" ht="49.5">
      <c r="A405" s="151">
        <v>7</v>
      </c>
      <c r="B405" s="152" t="s">
        <v>478</v>
      </c>
      <c r="C405" s="153" t="s">
        <v>250</v>
      </c>
      <c r="D405" s="153">
        <v>3</v>
      </c>
      <c r="E405" s="159">
        <f>4950000/100</f>
        <v>49500</v>
      </c>
      <c r="F405" s="157">
        <f t="shared" si="20"/>
        <v>148500</v>
      </c>
      <c r="G405" s="324"/>
    </row>
    <row r="406" spans="1:7" s="160" customFormat="1" ht="36.75" customHeight="1">
      <c r="A406" s="151">
        <v>8</v>
      </c>
      <c r="B406" s="152" t="s">
        <v>429</v>
      </c>
      <c r="C406" s="153" t="s">
        <v>250</v>
      </c>
      <c r="D406" s="153">
        <v>5.0000000000000001E-4</v>
      </c>
      <c r="E406" s="178">
        <v>1850000</v>
      </c>
      <c r="F406" s="157">
        <f t="shared" si="20"/>
        <v>925</v>
      </c>
      <c r="G406" s="324"/>
    </row>
    <row r="407" spans="1:7" s="155" customFormat="1" ht="18.75">
      <c r="A407" s="151">
        <v>9</v>
      </c>
      <c r="B407" s="152" t="s">
        <v>414</v>
      </c>
      <c r="C407" s="153" t="s">
        <v>250</v>
      </c>
      <c r="D407" s="153">
        <v>3</v>
      </c>
      <c r="E407" s="159">
        <v>5000</v>
      </c>
      <c r="F407" s="157">
        <f t="shared" si="20"/>
        <v>15000</v>
      </c>
      <c r="G407" s="324"/>
    </row>
    <row r="408" spans="1:7" s="160" customFormat="1" ht="49.5">
      <c r="A408" s="151">
        <v>10</v>
      </c>
      <c r="B408" s="152" t="s">
        <v>430</v>
      </c>
      <c r="C408" s="153" t="s">
        <v>250</v>
      </c>
      <c r="D408" s="153">
        <v>3</v>
      </c>
      <c r="E408" s="178">
        <f>3800000/100</f>
        <v>38000</v>
      </c>
      <c r="F408" s="157">
        <f t="shared" si="20"/>
        <v>114000</v>
      </c>
      <c r="G408" s="324"/>
    </row>
    <row r="409" spans="1:7" s="155" customFormat="1" ht="18.75">
      <c r="A409" s="151">
        <v>11</v>
      </c>
      <c r="B409" s="152" t="s">
        <v>409</v>
      </c>
      <c r="C409" s="153" t="s">
        <v>250</v>
      </c>
      <c r="D409" s="153">
        <v>3</v>
      </c>
      <c r="E409" s="159">
        <f>130000/100</f>
        <v>1300</v>
      </c>
      <c r="F409" s="157">
        <f t="shared" si="20"/>
        <v>3900</v>
      </c>
      <c r="G409" s="325"/>
    </row>
    <row r="410" spans="1:7" s="155" customFormat="1">
      <c r="A410" s="311" t="s">
        <v>9</v>
      </c>
      <c r="B410" s="311"/>
      <c r="C410" s="165"/>
      <c r="D410" s="165"/>
      <c r="E410" s="166"/>
      <c r="F410" s="167">
        <f>SUM(F399:F409)</f>
        <v>294213.40000000002</v>
      </c>
      <c r="G410" s="168"/>
    </row>
    <row r="411" spans="1:7" s="155" customFormat="1">
      <c r="A411" s="198" t="s">
        <v>83</v>
      </c>
      <c r="B411" s="164" t="s">
        <v>227</v>
      </c>
      <c r="C411" s="165"/>
      <c r="D411" s="165"/>
      <c r="E411" s="166"/>
      <c r="F411" s="167"/>
      <c r="G411" s="168"/>
    </row>
    <row r="412" spans="1:7" s="155" customFormat="1">
      <c r="A412" s="151">
        <v>1</v>
      </c>
      <c r="B412" s="152" t="s">
        <v>230</v>
      </c>
      <c r="C412" s="153" t="s">
        <v>231</v>
      </c>
      <c r="D412" s="153">
        <v>25</v>
      </c>
      <c r="E412" s="154">
        <v>2134</v>
      </c>
      <c r="F412" s="156">
        <f>E412*D412</f>
        <v>53350</v>
      </c>
      <c r="G412" s="168"/>
    </row>
    <row r="413" spans="1:7" s="155" customFormat="1">
      <c r="A413" s="151">
        <v>2</v>
      </c>
      <c r="B413" s="152" t="s">
        <v>232</v>
      </c>
      <c r="C413" s="153" t="s">
        <v>229</v>
      </c>
      <c r="D413" s="153">
        <v>200</v>
      </c>
      <c r="E413" s="169">
        <v>12.3</v>
      </c>
      <c r="F413" s="156">
        <f>E413*D413</f>
        <v>2460</v>
      </c>
      <c r="G413" s="168"/>
    </row>
    <row r="414" spans="1:7" s="155" customFormat="1">
      <c r="A414" s="311" t="s">
        <v>9</v>
      </c>
      <c r="B414" s="311"/>
      <c r="C414" s="165"/>
      <c r="D414" s="165"/>
      <c r="E414" s="170"/>
      <c r="F414" s="167">
        <f>SUM(F412:F413)</f>
        <v>55810</v>
      </c>
      <c r="G414" s="168"/>
    </row>
    <row r="415" spans="1:7" s="155" customFormat="1">
      <c r="A415" s="315" t="s">
        <v>431</v>
      </c>
      <c r="B415" s="315"/>
      <c r="C415" s="315"/>
      <c r="D415" s="315"/>
      <c r="E415" s="315"/>
      <c r="F415" s="315"/>
      <c r="G415" s="168"/>
    </row>
    <row r="416" spans="1:7" s="155" customFormat="1" ht="33">
      <c r="A416" s="165" t="s">
        <v>204</v>
      </c>
      <c r="B416" s="165" t="s">
        <v>205</v>
      </c>
      <c r="C416" s="165" t="s">
        <v>206</v>
      </c>
      <c r="D416" s="165" t="s">
        <v>188</v>
      </c>
      <c r="E416" s="170" t="s">
        <v>452</v>
      </c>
      <c r="F416" s="171" t="s">
        <v>453</v>
      </c>
      <c r="G416" s="168"/>
    </row>
    <row r="417" spans="1:7" s="176" customFormat="1">
      <c r="A417" s="172" t="s">
        <v>208</v>
      </c>
      <c r="B417" s="173" t="s">
        <v>209</v>
      </c>
      <c r="C417" s="172" t="s">
        <v>210</v>
      </c>
      <c r="D417" s="173" t="s">
        <v>211</v>
      </c>
      <c r="E417" s="172" t="s">
        <v>212</v>
      </c>
      <c r="F417" s="174" t="s">
        <v>213</v>
      </c>
      <c r="G417" s="175"/>
    </row>
    <row r="418" spans="1:7" s="155" customFormat="1">
      <c r="A418" s="198" t="s">
        <v>44</v>
      </c>
      <c r="B418" s="164" t="s">
        <v>285</v>
      </c>
      <c r="C418" s="165"/>
      <c r="D418" s="165"/>
      <c r="E418" s="170"/>
      <c r="F418" s="171"/>
      <c r="G418" s="168"/>
    </row>
    <row r="419" spans="1:7" s="155" customFormat="1" ht="18.75">
      <c r="A419" s="151">
        <v>1</v>
      </c>
      <c r="B419" s="152" t="s">
        <v>432</v>
      </c>
      <c r="C419" s="153" t="s">
        <v>289</v>
      </c>
      <c r="D419" s="153">
        <v>2</v>
      </c>
      <c r="E419" s="159">
        <f>110000/1000</f>
        <v>110</v>
      </c>
      <c r="F419" s="157">
        <f t="shared" ref="F419:F424" si="21">E419*D419</f>
        <v>220</v>
      </c>
      <c r="G419" s="306" t="s">
        <v>493</v>
      </c>
    </row>
    <row r="420" spans="1:7" s="155" customFormat="1" ht="18.75">
      <c r="A420" s="151">
        <v>2</v>
      </c>
      <c r="B420" s="152" t="s">
        <v>433</v>
      </c>
      <c r="C420" s="153" t="s">
        <v>289</v>
      </c>
      <c r="D420" s="153">
        <v>0.05</v>
      </c>
      <c r="E420" s="159">
        <f>6325000/100</f>
        <v>63250</v>
      </c>
      <c r="F420" s="157">
        <f t="shared" si="21"/>
        <v>3162.5</v>
      </c>
      <c r="G420" s="307"/>
    </row>
    <row r="421" spans="1:7" s="155" customFormat="1" ht="18.75">
      <c r="A421" s="151">
        <v>3</v>
      </c>
      <c r="B421" s="152" t="s">
        <v>434</v>
      </c>
      <c r="C421" s="153" t="s">
        <v>287</v>
      </c>
      <c r="D421" s="153">
        <v>0.01</v>
      </c>
      <c r="E421" s="159">
        <f>2125200/10</f>
        <v>212520</v>
      </c>
      <c r="F421" s="157">
        <f t="shared" si="21"/>
        <v>2125.1999999999998</v>
      </c>
      <c r="G421" s="307"/>
    </row>
    <row r="422" spans="1:7" s="155" customFormat="1" ht="18.75">
      <c r="A422" s="151">
        <v>4</v>
      </c>
      <c r="B422" s="152" t="s">
        <v>435</v>
      </c>
      <c r="C422" s="153" t="s">
        <v>287</v>
      </c>
      <c r="D422" s="153">
        <v>1.06</v>
      </c>
      <c r="E422" s="159">
        <f>500000/500</f>
        <v>1000</v>
      </c>
      <c r="F422" s="157">
        <f t="shared" si="21"/>
        <v>1060</v>
      </c>
      <c r="G422" s="307"/>
    </row>
    <row r="423" spans="1:7" s="155" customFormat="1" ht="18.75">
      <c r="A423" s="181">
        <v>5</v>
      </c>
      <c r="B423" s="182" t="s">
        <v>436</v>
      </c>
      <c r="C423" s="197" t="s">
        <v>287</v>
      </c>
      <c r="D423" s="197">
        <v>2.19</v>
      </c>
      <c r="E423" s="183">
        <f>2200000/500</f>
        <v>4400</v>
      </c>
      <c r="F423" s="184">
        <f t="shared" si="21"/>
        <v>9636</v>
      </c>
      <c r="G423" s="307"/>
    </row>
    <row r="424" spans="1:7" s="155" customFormat="1" ht="18.75">
      <c r="A424" s="151">
        <v>6</v>
      </c>
      <c r="B424" s="152" t="s">
        <v>437</v>
      </c>
      <c r="C424" s="153" t="s">
        <v>374</v>
      </c>
      <c r="D424" s="153">
        <v>900</v>
      </c>
      <c r="E424" s="180">
        <f>5720000/500000</f>
        <v>11.44</v>
      </c>
      <c r="F424" s="157">
        <f t="shared" si="21"/>
        <v>10296</v>
      </c>
      <c r="G424" s="308"/>
    </row>
    <row r="425" spans="1:7" s="155" customFormat="1">
      <c r="A425" s="311" t="s">
        <v>9</v>
      </c>
      <c r="B425" s="311"/>
      <c r="C425" s="165"/>
      <c r="D425" s="165"/>
      <c r="E425" s="166"/>
      <c r="F425" s="167">
        <f>SUM(F419:F424)</f>
        <v>26499.7</v>
      </c>
      <c r="G425" s="168"/>
    </row>
    <row r="426" spans="1:7" s="155" customFormat="1">
      <c r="A426" s="198" t="s">
        <v>83</v>
      </c>
      <c r="B426" s="164" t="s">
        <v>214</v>
      </c>
      <c r="C426" s="165"/>
      <c r="D426" s="165"/>
      <c r="E426" s="166"/>
      <c r="F426" s="167"/>
      <c r="G426" s="168"/>
    </row>
    <row r="427" spans="1:7" s="155" customFormat="1" ht="18.75">
      <c r="A427" s="151">
        <v>1</v>
      </c>
      <c r="B427" s="152" t="s">
        <v>438</v>
      </c>
      <c r="C427" s="153" t="s">
        <v>250</v>
      </c>
      <c r="D427" s="153">
        <v>1</v>
      </c>
      <c r="E427" s="159">
        <v>5000</v>
      </c>
      <c r="F427" s="157">
        <f t="shared" ref="F427:F442" si="22">E427*D427</f>
        <v>5000</v>
      </c>
      <c r="G427" s="326" t="s">
        <v>493</v>
      </c>
    </row>
    <row r="428" spans="1:7" s="155" customFormat="1" ht="18.75">
      <c r="A428" s="151">
        <v>2</v>
      </c>
      <c r="B428" s="152" t="s">
        <v>439</v>
      </c>
      <c r="C428" s="153" t="s">
        <v>345</v>
      </c>
      <c r="D428" s="153">
        <v>3</v>
      </c>
      <c r="E428" s="159">
        <f>260000/100</f>
        <v>2600</v>
      </c>
      <c r="F428" s="157">
        <f t="shared" si="22"/>
        <v>7800</v>
      </c>
      <c r="G428" s="327"/>
    </row>
    <row r="429" spans="1:7" s="155" customFormat="1">
      <c r="A429" s="151">
        <v>3</v>
      </c>
      <c r="B429" s="152" t="s">
        <v>440</v>
      </c>
      <c r="C429" s="153" t="s">
        <v>250</v>
      </c>
      <c r="D429" s="153">
        <v>5.9999999999999995E-4</v>
      </c>
      <c r="E429" s="158">
        <f>'[2]Vật tư'!$E$26</f>
        <v>44000</v>
      </c>
      <c r="F429" s="157">
        <f t="shared" si="22"/>
        <v>26.4</v>
      </c>
      <c r="G429" s="327"/>
    </row>
    <row r="430" spans="1:7" s="155" customFormat="1">
      <c r="A430" s="151">
        <v>4</v>
      </c>
      <c r="B430" s="152" t="s">
        <v>441</v>
      </c>
      <c r="C430" s="153" t="s">
        <v>250</v>
      </c>
      <c r="D430" s="153">
        <v>5.9999999999999995E-4</v>
      </c>
      <c r="E430" s="158">
        <f>'[2]Vật tư'!$E$26</f>
        <v>44000</v>
      </c>
      <c r="F430" s="157">
        <f t="shared" si="22"/>
        <v>26.4</v>
      </c>
      <c r="G430" s="327"/>
    </row>
    <row r="431" spans="1:7" s="155" customFormat="1" ht="18.75">
      <c r="A431" s="151">
        <v>5</v>
      </c>
      <c r="B431" s="152" t="s">
        <v>442</v>
      </c>
      <c r="C431" s="153" t="s">
        <v>250</v>
      </c>
      <c r="D431" s="153">
        <v>5.9999999999999995E-4</v>
      </c>
      <c r="E431" s="159">
        <v>160000</v>
      </c>
      <c r="F431" s="157">
        <f t="shared" si="22"/>
        <v>95.999999999999986</v>
      </c>
      <c r="G431" s="327"/>
    </row>
    <row r="432" spans="1:7" s="155" customFormat="1">
      <c r="A432" s="151">
        <v>6</v>
      </c>
      <c r="B432" s="152" t="s">
        <v>443</v>
      </c>
      <c r="C432" s="153" t="s">
        <v>250</v>
      </c>
      <c r="D432" s="153">
        <v>5.0000000000000001E-4</v>
      </c>
      <c r="E432" s="158">
        <v>40000</v>
      </c>
      <c r="F432" s="157">
        <f t="shared" si="22"/>
        <v>20</v>
      </c>
      <c r="G432" s="327"/>
    </row>
    <row r="433" spans="1:7" s="155" customFormat="1">
      <c r="A433" s="151">
        <v>7</v>
      </c>
      <c r="B433" s="152" t="s">
        <v>444</v>
      </c>
      <c r="C433" s="153" t="s">
        <v>250</v>
      </c>
      <c r="D433" s="153">
        <v>5.0000000000000001E-4</v>
      </c>
      <c r="E433" s="158">
        <v>100000</v>
      </c>
      <c r="F433" s="157">
        <f t="shared" si="22"/>
        <v>50</v>
      </c>
      <c r="G433" s="327"/>
    </row>
    <row r="434" spans="1:7" s="155" customFormat="1" ht="18.75">
      <c r="A434" s="151">
        <v>8</v>
      </c>
      <c r="B434" s="152" t="s">
        <v>445</v>
      </c>
      <c r="C434" s="153" t="s">
        <v>250</v>
      </c>
      <c r="D434" s="153">
        <v>5.0000000000000001E-4</v>
      </c>
      <c r="E434" s="159">
        <v>210000</v>
      </c>
      <c r="F434" s="157">
        <f t="shared" si="22"/>
        <v>105</v>
      </c>
      <c r="G434" s="327"/>
    </row>
    <row r="435" spans="1:7" s="155" customFormat="1">
      <c r="A435" s="151">
        <v>9</v>
      </c>
      <c r="B435" s="152" t="s">
        <v>446</v>
      </c>
      <c r="C435" s="153" t="s">
        <v>250</v>
      </c>
      <c r="D435" s="153">
        <v>5.0000000000000001E-4</v>
      </c>
      <c r="E435" s="158">
        <v>300000</v>
      </c>
      <c r="F435" s="157">
        <f t="shared" si="22"/>
        <v>150</v>
      </c>
      <c r="G435" s="327"/>
    </row>
    <row r="436" spans="1:7" s="155" customFormat="1" ht="33">
      <c r="A436" s="151">
        <v>10</v>
      </c>
      <c r="B436" s="152" t="s">
        <v>447</v>
      </c>
      <c r="C436" s="153" t="s">
        <v>250</v>
      </c>
      <c r="D436" s="153">
        <v>5.0000000000000001E-4</v>
      </c>
      <c r="E436" s="159">
        <v>450000</v>
      </c>
      <c r="F436" s="157">
        <f t="shared" si="22"/>
        <v>225</v>
      </c>
      <c r="G436" s="327"/>
    </row>
    <row r="437" spans="1:7" s="155" customFormat="1">
      <c r="A437" s="151">
        <v>11</v>
      </c>
      <c r="B437" s="152" t="s">
        <v>448</v>
      </c>
      <c r="C437" s="153" t="s">
        <v>250</v>
      </c>
      <c r="D437" s="153">
        <v>8.9999999999999998E-4</v>
      </c>
      <c r="E437" s="158">
        <f>'[2]Vật tư'!$E$33</f>
        <v>66000</v>
      </c>
      <c r="F437" s="157">
        <f t="shared" si="22"/>
        <v>59.4</v>
      </c>
      <c r="G437" s="327"/>
    </row>
    <row r="438" spans="1:7" s="155" customFormat="1">
      <c r="A438" s="151">
        <v>12</v>
      </c>
      <c r="B438" s="152" t="s">
        <v>449</v>
      </c>
      <c r="C438" s="153" t="s">
        <v>250</v>
      </c>
      <c r="D438" s="153">
        <v>5.0000000000000001E-4</v>
      </c>
      <c r="E438" s="158">
        <v>42000</v>
      </c>
      <c r="F438" s="157">
        <f t="shared" si="22"/>
        <v>21</v>
      </c>
      <c r="G438" s="327"/>
    </row>
    <row r="439" spans="1:7" s="155" customFormat="1" ht="18.75">
      <c r="A439" s="151">
        <v>13</v>
      </c>
      <c r="B439" s="152" t="s">
        <v>450</v>
      </c>
      <c r="C439" s="153" t="s">
        <v>250</v>
      </c>
      <c r="D439" s="153">
        <v>6.0000000000000001E-3</v>
      </c>
      <c r="E439" s="159">
        <v>300000</v>
      </c>
      <c r="F439" s="157">
        <f t="shared" si="22"/>
        <v>1800</v>
      </c>
      <c r="G439" s="327"/>
    </row>
    <row r="440" spans="1:7" s="155" customFormat="1" ht="18.75">
      <c r="A440" s="151">
        <v>14</v>
      </c>
      <c r="B440" s="152" t="s">
        <v>451</v>
      </c>
      <c r="C440" s="153" t="s">
        <v>250</v>
      </c>
      <c r="D440" s="153">
        <v>1.9E-3</v>
      </c>
      <c r="E440" s="159">
        <v>200000</v>
      </c>
      <c r="F440" s="157">
        <f t="shared" si="22"/>
        <v>380</v>
      </c>
      <c r="G440" s="327"/>
    </row>
    <row r="441" spans="1:7" s="155" customFormat="1">
      <c r="A441" s="151">
        <v>15</v>
      </c>
      <c r="B441" s="152" t="s">
        <v>328</v>
      </c>
      <c r="C441" s="153" t="s">
        <v>250</v>
      </c>
      <c r="D441" s="153">
        <v>1.9E-3</v>
      </c>
      <c r="E441" s="158">
        <v>25000</v>
      </c>
      <c r="F441" s="157">
        <f t="shared" si="22"/>
        <v>47.5</v>
      </c>
      <c r="G441" s="327"/>
    </row>
    <row r="442" spans="1:7" s="155" customFormat="1">
      <c r="A442" s="151">
        <v>16</v>
      </c>
      <c r="B442" s="152" t="s">
        <v>329</v>
      </c>
      <c r="C442" s="153" t="s">
        <v>250</v>
      </c>
      <c r="D442" s="153">
        <v>1.9E-3</v>
      </c>
      <c r="E442" s="158">
        <v>55000</v>
      </c>
      <c r="F442" s="157">
        <f t="shared" si="22"/>
        <v>104.5</v>
      </c>
      <c r="G442" s="328"/>
    </row>
    <row r="443" spans="1:7" s="155" customFormat="1">
      <c r="A443" s="311" t="s">
        <v>9</v>
      </c>
      <c r="B443" s="311"/>
      <c r="C443" s="165"/>
      <c r="D443" s="165"/>
      <c r="E443" s="166"/>
      <c r="F443" s="167">
        <f>SUM(F427:F442)</f>
        <v>15911.199999999999</v>
      </c>
      <c r="G443" s="168"/>
    </row>
    <row r="444" spans="1:7" s="155" customFormat="1">
      <c r="A444" s="198" t="s">
        <v>83</v>
      </c>
      <c r="B444" s="164" t="s">
        <v>227</v>
      </c>
      <c r="C444" s="165"/>
      <c r="D444" s="165"/>
      <c r="E444" s="166"/>
      <c r="F444" s="167"/>
      <c r="G444" s="168"/>
    </row>
    <row r="445" spans="1:7" s="155" customFormat="1">
      <c r="A445" s="151">
        <v>1</v>
      </c>
      <c r="B445" s="152" t="s">
        <v>230</v>
      </c>
      <c r="C445" s="153" t="s">
        <v>231</v>
      </c>
      <c r="D445" s="153">
        <v>10</v>
      </c>
      <c r="E445" s="154">
        <v>2134</v>
      </c>
      <c r="F445" s="156">
        <f>E445*D445</f>
        <v>21340</v>
      </c>
      <c r="G445" s="168"/>
    </row>
    <row r="446" spans="1:7" s="155" customFormat="1">
      <c r="A446" s="151">
        <v>2</v>
      </c>
      <c r="B446" s="152" t="s">
        <v>232</v>
      </c>
      <c r="C446" s="153" t="s">
        <v>229</v>
      </c>
      <c r="D446" s="153">
        <v>200</v>
      </c>
      <c r="E446" s="169">
        <v>12.3</v>
      </c>
      <c r="F446" s="156">
        <f>E446*D446</f>
        <v>2460</v>
      </c>
      <c r="G446" s="168"/>
    </row>
    <row r="447" spans="1:7" s="155" customFormat="1">
      <c r="A447" s="311" t="s">
        <v>9</v>
      </c>
      <c r="B447" s="311"/>
      <c r="C447" s="165"/>
      <c r="D447" s="165"/>
      <c r="E447" s="170"/>
      <c r="F447" s="167">
        <f>SUM(F445:F446)</f>
        <v>23800</v>
      </c>
      <c r="G447" s="168"/>
    </row>
    <row r="448" spans="1:7" ht="17.25">
      <c r="A448" s="232"/>
      <c r="B448" s="232"/>
      <c r="C448" s="232"/>
      <c r="D448" s="232"/>
      <c r="E448" s="233"/>
      <c r="F448" s="233"/>
    </row>
    <row r="449" spans="1:6" ht="17.25">
      <c r="A449" s="232"/>
      <c r="B449" s="232"/>
      <c r="C449" s="232"/>
      <c r="D449" s="232"/>
      <c r="E449" s="233"/>
      <c r="F449" s="233"/>
    </row>
    <row r="450" spans="1:6" ht="17.25">
      <c r="A450" s="232"/>
      <c r="B450" s="232"/>
      <c r="C450" s="232"/>
      <c r="D450" s="232"/>
      <c r="E450" s="233"/>
      <c r="F450" s="233"/>
    </row>
    <row r="451" spans="1:6" ht="17.25">
      <c r="A451" s="232"/>
      <c r="B451" s="232"/>
      <c r="C451" s="232"/>
      <c r="D451" s="232"/>
      <c r="E451" s="233"/>
      <c r="F451" s="233"/>
    </row>
    <row r="452" spans="1:6" ht="17.25">
      <c r="A452" s="232"/>
      <c r="B452" s="232"/>
      <c r="C452" s="232"/>
      <c r="D452" s="232"/>
      <c r="E452" s="233"/>
      <c r="F452" s="233"/>
    </row>
    <row r="453" spans="1:6" ht="17.25">
      <c r="A453" s="232"/>
      <c r="B453" s="232"/>
      <c r="C453" s="232"/>
      <c r="D453" s="232"/>
      <c r="E453" s="233"/>
      <c r="F453" s="233"/>
    </row>
    <row r="454" spans="1:6" ht="17.25">
      <c r="A454" s="232"/>
      <c r="B454" s="232"/>
      <c r="C454" s="232"/>
      <c r="D454" s="232"/>
      <c r="E454" s="233"/>
      <c r="F454" s="233"/>
    </row>
    <row r="455" spans="1:6" ht="17.25">
      <c r="A455" s="232"/>
      <c r="B455" s="232"/>
      <c r="C455" s="232"/>
      <c r="D455" s="232"/>
      <c r="E455" s="233"/>
      <c r="F455" s="233"/>
    </row>
  </sheetData>
  <mergeCells count="90">
    <mergeCell ref="G96:G99"/>
    <mergeCell ref="G117:G119"/>
    <mergeCell ref="G134:G136"/>
    <mergeCell ref="G120:G121"/>
    <mergeCell ref="G390:G396"/>
    <mergeCell ref="G217:G224"/>
    <mergeCell ref="G227:G242"/>
    <mergeCell ref="G252:G281"/>
    <mergeCell ref="G284:G293"/>
    <mergeCell ref="G304:G310"/>
    <mergeCell ref="G110:G116"/>
    <mergeCell ref="G137:G139"/>
    <mergeCell ref="G147:G149"/>
    <mergeCell ref="G161:G189"/>
    <mergeCell ref="G192:G207"/>
    <mergeCell ref="G399:G409"/>
    <mergeCell ref="G419:G424"/>
    <mergeCell ref="G427:G442"/>
    <mergeCell ref="G313:G321"/>
    <mergeCell ref="G331:G339"/>
    <mergeCell ref="G342:G352"/>
    <mergeCell ref="G362:G367"/>
    <mergeCell ref="G370:G380"/>
    <mergeCell ref="G10:G16"/>
    <mergeCell ref="G30:G36"/>
    <mergeCell ref="G50:G56"/>
    <mergeCell ref="G70:G76"/>
    <mergeCell ref="G77:G79"/>
    <mergeCell ref="G57:G59"/>
    <mergeCell ref="G37:G39"/>
    <mergeCell ref="G90:G95"/>
    <mergeCell ref="A415:F415"/>
    <mergeCell ref="A425:B425"/>
    <mergeCell ref="A443:B443"/>
    <mergeCell ref="A447:B447"/>
    <mergeCell ref="A385:B385"/>
    <mergeCell ref="A386:F386"/>
    <mergeCell ref="A397:B397"/>
    <mergeCell ref="A410:B410"/>
    <mergeCell ref="A414:B414"/>
    <mergeCell ref="A353:B353"/>
    <mergeCell ref="A357:B357"/>
    <mergeCell ref="A358:F358"/>
    <mergeCell ref="A368:B368"/>
    <mergeCell ref="A381:B381"/>
    <mergeCell ref="A311:B311"/>
    <mergeCell ref="A322:B322"/>
    <mergeCell ref="A326:B326"/>
    <mergeCell ref="A327:F327"/>
    <mergeCell ref="A340:B340"/>
    <mergeCell ref="A282:B282"/>
    <mergeCell ref="A294:B294"/>
    <mergeCell ref="A298:B298"/>
    <mergeCell ref="A299:F299"/>
    <mergeCell ref="A300:F300"/>
    <mergeCell ref="A213:F213"/>
    <mergeCell ref="A225:B225"/>
    <mergeCell ref="A243:B243"/>
    <mergeCell ref="A247:B247"/>
    <mergeCell ref="A248:F248"/>
    <mergeCell ref="A156:F156"/>
    <mergeCell ref="A157:F157"/>
    <mergeCell ref="A190:B190"/>
    <mergeCell ref="A208:B208"/>
    <mergeCell ref="A212:B212"/>
    <mergeCell ref="A128:F128"/>
    <mergeCell ref="A129:F129"/>
    <mergeCell ref="B144:C144"/>
    <mergeCell ref="A145:F145"/>
    <mergeCell ref="A152:F152"/>
    <mergeCell ref="A106:D106"/>
    <mergeCell ref="A123:B123"/>
    <mergeCell ref="A127:B127"/>
    <mergeCell ref="A66:F66"/>
    <mergeCell ref="A80:B80"/>
    <mergeCell ref="A85:B85"/>
    <mergeCell ref="A86:F86"/>
    <mergeCell ref="A100:B100"/>
    <mergeCell ref="A26:D26"/>
    <mergeCell ref="A45:B45"/>
    <mergeCell ref="A46:F46"/>
    <mergeCell ref="A65:B65"/>
    <mergeCell ref="A105:B105"/>
    <mergeCell ref="A1:F1"/>
    <mergeCell ref="A4:D4"/>
    <mergeCell ref="A5:D5"/>
    <mergeCell ref="A20:B20"/>
    <mergeCell ref="A25:B25"/>
    <mergeCell ref="A2:F2"/>
    <mergeCell ref="A3:F3"/>
  </mergeCells>
  <pageMargins left="0.25" right="0.25" top="0.31" bottom="0.31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9C771138BD8499F295DA9EFA7D48F" ma:contentTypeVersion="0" ma:contentTypeDescription="Create a new document." ma:contentTypeScope="" ma:versionID="a9d838aec2cda2fcf5a869236c1284b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CC472-DBB5-4552-8F1C-F8BA0CB78B1B}"/>
</file>

<file path=customXml/itemProps2.xml><?xml version="1.0" encoding="utf-8"?>
<ds:datastoreItem xmlns:ds="http://schemas.openxmlformats.org/officeDocument/2006/customXml" ds:itemID="{FC31C49D-9C8F-4862-A56C-7991D35D3DAC}"/>
</file>

<file path=customXml/itemProps3.xml><?xml version="1.0" encoding="utf-8"?>
<ds:datastoreItem xmlns:ds="http://schemas.openxmlformats.org/officeDocument/2006/customXml" ds:itemID="{5E436FB5-CE0A-4699-9E5B-9C20841555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B1 Tổng hợp đơn giá</vt:lpstr>
      <vt:lpstr>Biếu số 2</vt:lpstr>
      <vt:lpstr>Biểu số 3-công</vt:lpstr>
      <vt:lpstr>Biểu số 4-Đơn giá máy móc</vt:lpstr>
      <vt:lpstr>Biểu số 5- Đơngiá vật tư, nlieu</vt:lpstr>
      <vt:lpstr>'B1 Tổng hợp đơn giá'!Print_Area</vt:lpstr>
      <vt:lpstr>'Biếu số 2'!Print_Area</vt:lpstr>
      <vt:lpstr>'Biểu số 5- Đơngiá vật tư, nlieu'!Print_Area</vt:lpstr>
      <vt:lpstr>'B1 Tổng hợp đơn giá'!Print_Titles</vt:lpstr>
      <vt:lpstr>'Biểu số 3-công'!Print_Titles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2023-12-02T10:35:14Z</cp:lastPrinted>
  <dcterms:created xsi:type="dcterms:W3CDTF">2022-06-09T13:09:00Z</dcterms:created>
  <dcterms:modified xsi:type="dcterms:W3CDTF">2024-04-12T07:08:25Z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1033-12.2.0.13208</vt:lpwstr>
  </property>
  <property fmtid="{D5CDD505-2E9C-101B-9397-08002B2CF9AE}" pid="3" name="ICV">
    <vt:lpwstr>A7D9377E04BD4E51925E6696EBA90F21_13</vt:lpwstr>
  </property>
  <property fmtid="{D5CDD505-2E9C-101B-9397-08002B2CF9AE}" pid="4" name="ContentTypeId">
    <vt:lpwstr>0x010100DAD9C771138BD8499F295DA9EFA7D48F</vt:lpwstr>
  </property>
</Properties>
</file>